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dav.sgsi.ucl.ac.be/dfs/groups/e/eli-corder/CRPHYTO/Bibliothèque/"/>
    </mc:Choice>
  </mc:AlternateContent>
  <xr:revisionPtr revIDLastSave="0" documentId="8_{ACD39181-6BF0-4AC3-B2C9-71034A5EA7E7}" xr6:coauthVersionLast="36" xr6:coauthVersionMax="36" xr10:uidLastSave="{00000000-0000-0000-0000-000000000000}"/>
  <bookViews>
    <workbookView xWindow="0" yWindow="0" windowWidth="17256" windowHeight="5640" tabRatio="672" xr2:uid="{00000000-000D-0000-FFFF-FFFF00000000}"/>
  </bookViews>
  <sheets>
    <sheet name="Interface utilisateur" sheetId="19" r:id="rId1"/>
    <sheet name="Optimalisation - Choix méthode" sheetId="9" state="hidden" r:id="rId2"/>
    <sheet name="Méthode 1" sheetId="3" state="hidden" r:id="rId3"/>
    <sheet name="1er rinçage - cc ini div. par 2" sheetId="6" state="hidden" r:id="rId4"/>
    <sheet name="par 3" sheetId="10" state="hidden" r:id="rId5"/>
    <sheet name="par 4" sheetId="11" state="hidden" r:id="rId6"/>
    <sheet name="par 5" sheetId="12" state="hidden" r:id="rId7"/>
    <sheet name="par 6" sheetId="8" state="hidden" r:id="rId8"/>
    <sheet name="par 7" sheetId="13" state="hidden" r:id="rId9"/>
    <sheet name="par 8" sheetId="14" state="hidden" r:id="rId10"/>
    <sheet name="par 9" sheetId="15" state="hidden" r:id="rId11"/>
    <sheet name="par 10" sheetId="7" state="hidden" r:id="rId12"/>
    <sheet name="par 15" sheetId="20" state="hidden" r:id="rId13"/>
    <sheet name="4 - 4 -3" sheetId="17" state="hidden" r:id="rId14"/>
  </sheets>
  <calcPr calcId="191029"/>
</workbook>
</file>

<file path=xl/calcChain.xml><?xml version="1.0" encoding="utf-8"?>
<calcChain xmlns="http://schemas.openxmlformats.org/spreadsheetml/2006/main">
  <c r="B2" i="9" l="1"/>
  <c r="B1" i="9" l="1"/>
  <c r="B3" i="9"/>
  <c r="B6" i="20" s="1"/>
  <c r="B4" i="20" l="1"/>
  <c r="B14" i="19"/>
  <c r="B5" i="20"/>
  <c r="A10" i="20" s="1"/>
  <c r="B4" i="6"/>
  <c r="B5" i="12"/>
  <c r="B22" i="12" s="1"/>
  <c r="B5" i="10"/>
  <c r="B17" i="10" s="1"/>
  <c r="B4" i="17"/>
  <c r="B35" i="20" l="1"/>
  <c r="B28" i="20"/>
  <c r="B17" i="20"/>
  <c r="B14" i="20"/>
  <c r="B22" i="20"/>
  <c r="B13" i="20"/>
  <c r="D14" i="20" s="1"/>
  <c r="B28" i="12"/>
  <c r="B28" i="10"/>
  <c r="B35" i="12"/>
  <c r="B17" i="12"/>
  <c r="B35" i="10"/>
  <c r="B22" i="10"/>
  <c r="B6" i="17"/>
  <c r="B13" i="17" s="1"/>
  <c r="B15" i="9" s="1"/>
  <c r="B5" i="17"/>
  <c r="B11" i="17" s="1"/>
  <c r="B13" i="9" s="1"/>
  <c r="B5" i="8"/>
  <c r="B6" i="15"/>
  <c r="B5" i="15"/>
  <c r="B4" i="15"/>
  <c r="B6" i="14"/>
  <c r="B5" i="14"/>
  <c r="B4" i="14"/>
  <c r="B6" i="13"/>
  <c r="B5" i="13"/>
  <c r="B4" i="13"/>
  <c r="B6" i="12"/>
  <c r="A10" i="12" s="1"/>
  <c r="B4" i="12"/>
  <c r="B6" i="11"/>
  <c r="B5" i="11"/>
  <c r="B4" i="11"/>
  <c r="B6" i="10"/>
  <c r="A10" i="10" s="1"/>
  <c r="B4" i="10"/>
  <c r="B6" i="7"/>
  <c r="B5" i="7"/>
  <c r="B4" i="7"/>
  <c r="B6" i="8"/>
  <c r="B4" i="8"/>
  <c r="B6" i="6"/>
  <c r="B5" i="6"/>
  <c r="B17" i="6" s="1"/>
  <c r="B5" i="3"/>
  <c r="B4" i="3"/>
  <c r="B3" i="3"/>
  <c r="D22" i="20" l="1"/>
  <c r="B24" i="20" s="1"/>
  <c r="M15" i="9" s="1"/>
  <c r="M13" i="9"/>
  <c r="D28" i="20"/>
  <c r="M19" i="9"/>
  <c r="D17" i="20"/>
  <c r="B18" i="20" s="1"/>
  <c r="M8" i="9"/>
  <c r="D35" i="20"/>
  <c r="B38" i="20" s="1"/>
  <c r="M29" i="9" s="1"/>
  <c r="M26" i="9"/>
  <c r="B22" i="7"/>
  <c r="L13" i="9" s="1"/>
  <c r="B17" i="7"/>
  <c r="L8" i="9" s="1"/>
  <c r="B35" i="7"/>
  <c r="L26" i="9" s="1"/>
  <c r="B28" i="7"/>
  <c r="L19" i="9" s="1"/>
  <c r="A10" i="13"/>
  <c r="B35" i="13"/>
  <c r="B28" i="13"/>
  <c r="I19" i="9" s="1"/>
  <c r="B22" i="13"/>
  <c r="B17" i="13"/>
  <c r="I8" i="9" s="1"/>
  <c r="B17" i="8"/>
  <c r="B35" i="8"/>
  <c r="H26" i="9" s="1"/>
  <c r="B28" i="8"/>
  <c r="B22" i="8"/>
  <c r="D8" i="9"/>
  <c r="B22" i="6"/>
  <c r="D13" i="9" s="1"/>
  <c r="B28" i="6"/>
  <c r="D19" i="9" s="1"/>
  <c r="B35" i="6"/>
  <c r="D26" i="9" s="1"/>
  <c r="A10" i="11"/>
  <c r="B35" i="11"/>
  <c r="F26" i="9" s="1"/>
  <c r="B28" i="11"/>
  <c r="B22" i="11"/>
  <c r="B17" i="11"/>
  <c r="F8" i="9" s="1"/>
  <c r="A10" i="14"/>
  <c r="B35" i="14"/>
  <c r="J26" i="9" s="1"/>
  <c r="B28" i="14"/>
  <c r="B22" i="14"/>
  <c r="B17" i="14"/>
  <c r="J8" i="9" s="1"/>
  <c r="A10" i="15"/>
  <c r="B35" i="15"/>
  <c r="B28" i="15"/>
  <c r="B22" i="15"/>
  <c r="B17" i="15"/>
  <c r="K8" i="9" s="1"/>
  <c r="E26" i="9"/>
  <c r="A10" i="8"/>
  <c r="B12" i="17"/>
  <c r="B14" i="9" s="1"/>
  <c r="D11" i="17"/>
  <c r="G26" i="9"/>
  <c r="G19" i="9"/>
  <c r="B13" i="15"/>
  <c r="D14" i="15" s="1"/>
  <c r="B13" i="14"/>
  <c r="B14" i="14" s="1"/>
  <c r="B13" i="13"/>
  <c r="B14" i="13" s="1"/>
  <c r="B13" i="12"/>
  <c r="B14" i="12" s="1"/>
  <c r="B13" i="11"/>
  <c r="B14" i="11" s="1"/>
  <c r="E19" i="9"/>
  <c r="E13" i="9"/>
  <c r="B13" i="10"/>
  <c r="D14" i="10" s="1"/>
  <c r="A10" i="6"/>
  <c r="B13" i="6"/>
  <c r="B14" i="6" s="1"/>
  <c r="B14" i="7"/>
  <c r="A10" i="7"/>
  <c r="B13" i="3"/>
  <c r="A9" i="3"/>
  <c r="B13" i="8"/>
  <c r="D14" i="8" s="1"/>
  <c r="B23" i="20" l="1"/>
  <c r="D23" i="20" s="1"/>
  <c r="D24" i="20" s="1"/>
  <c r="B37" i="20"/>
  <c r="M28" i="9" s="1"/>
  <c r="B36" i="20"/>
  <c r="M27" i="9" s="1"/>
  <c r="D18" i="20"/>
  <c r="B30" i="20"/>
  <c r="M21" i="9" s="1"/>
  <c r="B31" i="20"/>
  <c r="M22" i="9" s="1"/>
  <c r="B29" i="20"/>
  <c r="B19" i="20"/>
  <c r="M7" i="9" s="1"/>
  <c r="M9" i="9"/>
  <c r="B39" i="20"/>
  <c r="M30" i="9" s="1"/>
  <c r="D12" i="17"/>
  <c r="D13" i="17" s="1"/>
  <c r="D14" i="14"/>
  <c r="B14" i="8"/>
  <c r="B14" i="15"/>
  <c r="D14" i="13"/>
  <c r="D14" i="12"/>
  <c r="B14" i="10"/>
  <c r="D14" i="11"/>
  <c r="E8" i="9"/>
  <c r="D28" i="13"/>
  <c r="D35" i="10"/>
  <c r="D28" i="10"/>
  <c r="D35" i="14"/>
  <c r="D22" i="8"/>
  <c r="H13" i="9"/>
  <c r="D35" i="15"/>
  <c r="K26" i="9"/>
  <c r="D28" i="14"/>
  <c r="J19" i="9"/>
  <c r="D35" i="13"/>
  <c r="I26" i="9"/>
  <c r="D28" i="15"/>
  <c r="K19" i="9"/>
  <c r="D28" i="11"/>
  <c r="F19" i="9"/>
  <c r="D17" i="8"/>
  <c r="B18" i="8" s="1"/>
  <c r="B19" i="8" s="1"/>
  <c r="H8" i="9"/>
  <c r="D28" i="8"/>
  <c r="H19" i="9"/>
  <c r="D22" i="14"/>
  <c r="J13" i="9"/>
  <c r="D22" i="12"/>
  <c r="G13" i="9"/>
  <c r="D22" i="15"/>
  <c r="K13" i="9"/>
  <c r="D22" i="13"/>
  <c r="I13" i="9"/>
  <c r="D17" i="12"/>
  <c r="B18" i="12" s="1"/>
  <c r="B19" i="12" s="1"/>
  <c r="G8" i="9"/>
  <c r="D22" i="11"/>
  <c r="F13" i="9"/>
  <c r="D17" i="11"/>
  <c r="D17" i="15"/>
  <c r="B18" i="15" s="1"/>
  <c r="B19" i="15" s="1"/>
  <c r="D17" i="14"/>
  <c r="B18" i="14" s="1"/>
  <c r="B19" i="14" s="1"/>
  <c r="D17" i="13"/>
  <c r="B18" i="13" s="1"/>
  <c r="B19" i="13" s="1"/>
  <c r="D28" i="12"/>
  <c r="D35" i="12"/>
  <c r="D35" i="11"/>
  <c r="D22" i="10"/>
  <c r="D17" i="10"/>
  <c r="B18" i="10" s="1"/>
  <c r="B19" i="10" s="1"/>
  <c r="D35" i="8"/>
  <c r="B13" i="7"/>
  <c r="D14" i="7" s="1"/>
  <c r="B12" i="3"/>
  <c r="D13" i="3"/>
  <c r="D36" i="20" l="1"/>
  <c r="D37" i="20" s="1"/>
  <c r="D38" i="20" s="1"/>
  <c r="D39" i="20" s="1"/>
  <c r="B40" i="20"/>
  <c r="M25" i="9" s="1"/>
  <c r="M14" i="9"/>
  <c r="B25" i="20"/>
  <c r="M12" i="9" s="1"/>
  <c r="M20" i="9"/>
  <c r="B32" i="20"/>
  <c r="M18" i="9" s="1"/>
  <c r="D29" i="20"/>
  <c r="D30" i="20" s="1"/>
  <c r="D31" i="20" s="1"/>
  <c r="B18" i="11"/>
  <c r="B19" i="11" s="1"/>
  <c r="F7" i="9" s="1"/>
  <c r="B37" i="8"/>
  <c r="B36" i="8"/>
  <c r="B39" i="8"/>
  <c r="B38" i="8"/>
  <c r="B36" i="12"/>
  <c r="G27" i="9" s="1"/>
  <c r="B39" i="12"/>
  <c r="B38" i="12"/>
  <c r="B37" i="12"/>
  <c r="B31" i="12"/>
  <c r="B30" i="12"/>
  <c r="B29" i="12"/>
  <c r="B23" i="14"/>
  <c r="J14" i="9" s="1"/>
  <c r="B24" i="14"/>
  <c r="B31" i="15"/>
  <c r="B30" i="15"/>
  <c r="B29" i="15"/>
  <c r="B24" i="8"/>
  <c r="B23" i="8"/>
  <c r="H14" i="9" s="1"/>
  <c r="B39" i="14"/>
  <c r="B38" i="14"/>
  <c r="B37" i="14"/>
  <c r="J28" i="9" s="1"/>
  <c r="B36" i="14"/>
  <c r="B23" i="13"/>
  <c r="B24" i="13"/>
  <c r="B31" i="8"/>
  <c r="B30" i="8"/>
  <c r="B29" i="8"/>
  <c r="D29" i="8" s="1"/>
  <c r="B39" i="13"/>
  <c r="B38" i="13"/>
  <c r="B37" i="13"/>
  <c r="I28" i="9" s="1"/>
  <c r="B36" i="13"/>
  <c r="I27" i="9" s="1"/>
  <c r="B31" i="10"/>
  <c r="B30" i="10"/>
  <c r="B29" i="10"/>
  <c r="D29" i="10" s="1"/>
  <c r="B38" i="10"/>
  <c r="B39" i="10"/>
  <c r="B37" i="10"/>
  <c r="B36" i="10"/>
  <c r="D36" i="10" s="1"/>
  <c r="B24" i="15"/>
  <c r="K15" i="9" s="1"/>
  <c r="B23" i="15"/>
  <c r="K14" i="9" s="1"/>
  <c r="B31" i="14"/>
  <c r="B30" i="14"/>
  <c r="J21" i="9" s="1"/>
  <c r="B29" i="14"/>
  <c r="J20" i="9" s="1"/>
  <c r="B31" i="13"/>
  <c r="B30" i="13"/>
  <c r="I21" i="9" s="1"/>
  <c r="B29" i="13"/>
  <c r="I20" i="9" s="1"/>
  <c r="B23" i="10"/>
  <c r="B24" i="10"/>
  <c r="B39" i="11"/>
  <c r="B38" i="11"/>
  <c r="B37" i="11"/>
  <c r="B36" i="11"/>
  <c r="B24" i="11"/>
  <c r="B23" i="11"/>
  <c r="B24" i="12"/>
  <c r="B23" i="12"/>
  <c r="D23" i="12" s="1"/>
  <c r="B31" i="11"/>
  <c r="B30" i="11"/>
  <c r="B29" i="11"/>
  <c r="B39" i="15"/>
  <c r="B38" i="15"/>
  <c r="B37" i="15"/>
  <c r="K28" i="9" s="1"/>
  <c r="B36" i="15"/>
  <c r="K27" i="9" s="1"/>
  <c r="B14" i="17"/>
  <c r="B12" i="9" s="1"/>
  <c r="D18" i="12"/>
  <c r="G9" i="9"/>
  <c r="H7" i="9"/>
  <c r="H9" i="9"/>
  <c r="G7" i="9"/>
  <c r="D18" i="8"/>
  <c r="D28" i="7"/>
  <c r="D22" i="7"/>
  <c r="D17" i="7"/>
  <c r="B18" i="7" s="1"/>
  <c r="D35" i="7"/>
  <c r="F9" i="9" l="1"/>
  <c r="B32" i="15"/>
  <c r="D18" i="11"/>
  <c r="D36" i="13"/>
  <c r="D37" i="13" s="1"/>
  <c r="D23" i="14"/>
  <c r="D24" i="14" s="1"/>
  <c r="D29" i="15"/>
  <c r="D30" i="15" s="1"/>
  <c r="G14" i="9"/>
  <c r="D23" i="15"/>
  <c r="D24" i="15" s="1"/>
  <c r="D23" i="8"/>
  <c r="D24" i="8" s="1"/>
  <c r="H20" i="9"/>
  <c r="B25" i="11"/>
  <c r="F12" i="9" s="1"/>
  <c r="B32" i="13"/>
  <c r="I18" i="9" s="1"/>
  <c r="B40" i="14"/>
  <c r="B40" i="11"/>
  <c r="B25" i="13"/>
  <c r="I12" i="9" s="1"/>
  <c r="B32" i="11"/>
  <c r="B32" i="14"/>
  <c r="D29" i="11"/>
  <c r="D30" i="11" s="1"/>
  <c r="B25" i="8"/>
  <c r="H12" i="9" s="1"/>
  <c r="B25" i="15"/>
  <c r="K12" i="9" s="1"/>
  <c r="D29" i="13"/>
  <c r="D30" i="13" s="1"/>
  <c r="B24" i="7"/>
  <c r="B23" i="7"/>
  <c r="F14" i="9"/>
  <c r="B30" i="7"/>
  <c r="B29" i="7"/>
  <c r="L20" i="9" s="1"/>
  <c r="B31" i="7"/>
  <c r="K20" i="9"/>
  <c r="D36" i="14"/>
  <c r="D37" i="14" s="1"/>
  <c r="B32" i="8"/>
  <c r="H18" i="9" s="1"/>
  <c r="B40" i="12"/>
  <c r="D29" i="14"/>
  <c r="D30" i="14" s="1"/>
  <c r="H21" i="9"/>
  <c r="I14" i="9"/>
  <c r="J27" i="9"/>
  <c r="B25" i="14"/>
  <c r="J12" i="9" s="1"/>
  <c r="D23" i="11"/>
  <c r="D24" i="11" s="1"/>
  <c r="D23" i="13"/>
  <c r="D24" i="13" s="1"/>
  <c r="B40" i="15"/>
  <c r="B32" i="12"/>
  <c r="B39" i="7"/>
  <c r="B38" i="7"/>
  <c r="B37" i="7"/>
  <c r="B36" i="7"/>
  <c r="L27" i="9" s="1"/>
  <c r="D36" i="15"/>
  <c r="D37" i="15" s="1"/>
  <c r="B40" i="13"/>
  <c r="B40" i="8"/>
  <c r="B25" i="12"/>
  <c r="G12" i="9" s="1"/>
  <c r="E28" i="9"/>
  <c r="E27" i="9"/>
  <c r="E21" i="9"/>
  <c r="E15" i="9"/>
  <c r="E20" i="9"/>
  <c r="J22" i="9"/>
  <c r="F20" i="9"/>
  <c r="H22" i="9"/>
  <c r="E14" i="9"/>
  <c r="G15" i="9"/>
  <c r="I15" i="9"/>
  <c r="I7" i="9"/>
  <c r="I9" i="9"/>
  <c r="K22" i="9"/>
  <c r="K21" i="9"/>
  <c r="F15" i="9"/>
  <c r="B19" i="7"/>
  <c r="L7" i="9" s="1"/>
  <c r="L9" i="9"/>
  <c r="D36" i="8"/>
  <c r="H27" i="9"/>
  <c r="E7" i="9"/>
  <c r="E9" i="9"/>
  <c r="F28" i="9"/>
  <c r="F27" i="9"/>
  <c r="G21" i="9"/>
  <c r="G20" i="9"/>
  <c r="J7" i="9"/>
  <c r="J9" i="9"/>
  <c r="J15" i="9"/>
  <c r="K7" i="9"/>
  <c r="K9" i="9"/>
  <c r="H15" i="9"/>
  <c r="D30" i="8"/>
  <c r="D31" i="8" s="1"/>
  <c r="D36" i="11"/>
  <c r="D29" i="12"/>
  <c r="D18" i="15"/>
  <c r="D18" i="14"/>
  <c r="J29" i="9"/>
  <c r="D18" i="13"/>
  <c r="D36" i="12"/>
  <c r="G28" i="9"/>
  <c r="D18" i="10"/>
  <c r="D23" i="10"/>
  <c r="D24" i="10" s="1"/>
  <c r="D14" i="6"/>
  <c r="D24" i="12" l="1"/>
  <c r="E29" i="9"/>
  <c r="D30" i="10"/>
  <c r="D37" i="10"/>
  <c r="B25" i="10"/>
  <c r="E12" i="9" s="1"/>
  <c r="I22" i="9"/>
  <c r="D31" i="13"/>
  <c r="D31" i="15"/>
  <c r="J18" i="9"/>
  <c r="D30" i="12"/>
  <c r="F21" i="9"/>
  <c r="F29" i="9"/>
  <c r="D31" i="14"/>
  <c r="L14" i="9"/>
  <c r="D37" i="8"/>
  <c r="H28" i="9"/>
  <c r="I30" i="9"/>
  <c r="I29" i="9"/>
  <c r="K29" i="9"/>
  <c r="K18" i="9"/>
  <c r="D37" i="11"/>
  <c r="D38" i="15"/>
  <c r="D38" i="14"/>
  <c r="D38" i="13"/>
  <c r="D37" i="12"/>
  <c r="G29" i="9"/>
  <c r="D23" i="7"/>
  <c r="D24" i="7" s="1"/>
  <c r="L28" i="9"/>
  <c r="D36" i="7"/>
  <c r="D29" i="7"/>
  <c r="D18" i="7"/>
  <c r="D17" i="6"/>
  <c r="B18" i="6" s="1"/>
  <c r="D35" i="6"/>
  <c r="D28" i="6"/>
  <c r="B29" i="6" s="1"/>
  <c r="D22" i="6"/>
  <c r="B24" i="6" s="1"/>
  <c r="B38" i="6" l="1"/>
  <c r="B39" i="6"/>
  <c r="B37" i="6"/>
  <c r="B36" i="6"/>
  <c r="D27" i="9" s="1"/>
  <c r="B40" i="10"/>
  <c r="E25" i="9" s="1"/>
  <c r="D38" i="10"/>
  <c r="B23" i="6"/>
  <c r="D14" i="9" s="1"/>
  <c r="B30" i="6"/>
  <c r="B31" i="6"/>
  <c r="B32" i="10"/>
  <c r="E18" i="9" s="1"/>
  <c r="E22" i="9"/>
  <c r="D31" i="10"/>
  <c r="D31" i="12"/>
  <c r="F18" i="9"/>
  <c r="F22" i="9"/>
  <c r="D31" i="11"/>
  <c r="F30" i="9"/>
  <c r="I25" i="9"/>
  <c r="D38" i="11"/>
  <c r="L22" i="9"/>
  <c r="L21" i="9"/>
  <c r="J25" i="9"/>
  <c r="J30" i="9"/>
  <c r="G18" i="9"/>
  <c r="G22" i="9"/>
  <c r="K25" i="9"/>
  <c r="K30" i="9"/>
  <c r="B25" i="7"/>
  <c r="L12" i="9" s="1"/>
  <c r="L15" i="9"/>
  <c r="B19" i="6"/>
  <c r="D7" i="9" s="1"/>
  <c r="D9" i="9"/>
  <c r="H30" i="9"/>
  <c r="H29" i="9"/>
  <c r="D39" i="13"/>
  <c r="D39" i="15"/>
  <c r="D39" i="14"/>
  <c r="G30" i="9"/>
  <c r="D38" i="12"/>
  <c r="D20" i="9"/>
  <c r="D30" i="7"/>
  <c r="D37" i="7"/>
  <c r="L29" i="9"/>
  <c r="D38" i="8"/>
  <c r="D39" i="10" l="1"/>
  <c r="E30" i="9"/>
  <c r="F25" i="9"/>
  <c r="D39" i="11"/>
  <c r="D39" i="8"/>
  <c r="B32" i="7"/>
  <c r="L18" i="9" s="1"/>
  <c r="D31" i="7"/>
  <c r="H25" i="9"/>
  <c r="G25" i="9"/>
  <c r="D39" i="12"/>
  <c r="D29" i="6"/>
  <c r="D38" i="7"/>
  <c r="D23" i="6"/>
  <c r="D24" i="6" s="1"/>
  <c r="D36" i="6"/>
  <c r="D18" i="6"/>
  <c r="B25" i="6" l="1"/>
  <c r="D12" i="9" s="1"/>
  <c r="D15" i="9"/>
  <c r="B40" i="7"/>
  <c r="L25" i="9" s="1"/>
  <c r="L30" i="9"/>
  <c r="D22" i="9"/>
  <c r="D21" i="9"/>
  <c r="D29" i="9"/>
  <c r="D28" i="9"/>
  <c r="D30" i="6"/>
  <c r="D39" i="7"/>
  <c r="D37" i="6"/>
  <c r="B37" i="3"/>
  <c r="B29" i="3"/>
  <c r="B30" i="3" s="1"/>
  <c r="B22" i="3"/>
  <c r="B16" i="3"/>
  <c r="B17" i="3" s="1"/>
  <c r="B23" i="3" l="1"/>
  <c r="D23" i="3" s="1"/>
  <c r="B38" i="3"/>
  <c r="D38" i="3" s="1"/>
  <c r="D31" i="6"/>
  <c r="D38" i="6"/>
  <c r="B32" i="6"/>
  <c r="D18" i="9" s="1"/>
  <c r="D30" i="3"/>
  <c r="B31" i="3" s="1"/>
  <c r="C19" i="9"/>
  <c r="C13" i="9" l="1"/>
  <c r="C26" i="9"/>
  <c r="D39" i="6"/>
  <c r="D31" i="3"/>
  <c r="C20" i="9"/>
  <c r="D17" i="3"/>
  <c r="B18" i="3" s="1"/>
  <c r="C8" i="9"/>
  <c r="B40" i="6"/>
  <c r="D25" i="9" s="1"/>
  <c r="D30" i="9"/>
  <c r="B39" i="3"/>
  <c r="C27" i="9" s="1"/>
  <c r="B33" i="3"/>
  <c r="C22" i="9" s="1"/>
  <c r="B32" i="3"/>
  <c r="C21" i="9" s="1"/>
  <c r="B24" i="3"/>
  <c r="D24" i="3" l="1"/>
  <c r="D25" i="3" s="1"/>
  <c r="C14" i="9"/>
  <c r="B19" i="3"/>
  <c r="C7" i="9" s="1"/>
  <c r="N7" i="9" s="1"/>
  <c r="B17" i="19" s="1"/>
  <c r="C9" i="9"/>
  <c r="B34" i="3"/>
  <c r="D32" i="3"/>
  <c r="D33" i="3" s="1"/>
  <c r="B42" i="3"/>
  <c r="C30" i="9" s="1"/>
  <c r="B40" i="3"/>
  <c r="B41" i="3"/>
  <c r="C29" i="9" s="1"/>
  <c r="D18" i="3"/>
  <c r="D39" i="3"/>
  <c r="B25" i="3"/>
  <c r="B19" i="19" l="1"/>
  <c r="B18" i="19"/>
  <c r="C28" i="9"/>
  <c r="B43" i="3"/>
  <c r="C18" i="9"/>
  <c r="N18" i="9" s="1"/>
  <c r="B26" i="3"/>
  <c r="C15" i="9"/>
  <c r="D40" i="3"/>
  <c r="D41" i="3" s="1"/>
  <c r="D42" i="3" s="1"/>
  <c r="B28" i="19" l="1"/>
  <c r="B32" i="19"/>
  <c r="B31" i="19"/>
  <c r="B30" i="19"/>
  <c r="B29" i="19"/>
  <c r="C25" i="9"/>
  <c r="N25" i="9" s="1"/>
  <c r="C12" i="9"/>
  <c r="N12" i="9" s="1"/>
  <c r="B38" i="19" l="1"/>
  <c r="B36" i="19"/>
  <c r="B35" i="19"/>
  <c r="B40" i="19"/>
  <c r="B39" i="19"/>
  <c r="B37" i="19"/>
  <c r="B25" i="19"/>
  <c r="B24" i="19"/>
  <c r="B23" i="19"/>
  <c r="B22" i="19"/>
</calcChain>
</file>

<file path=xl/sharedStrings.xml><?xml version="1.0" encoding="utf-8"?>
<sst xmlns="http://schemas.openxmlformats.org/spreadsheetml/2006/main" count="664" uniqueCount="73">
  <si>
    <t>Dilution 100 !</t>
  </si>
  <si>
    <t>Litres</t>
  </si>
  <si>
    <t>En 2 rinçages</t>
  </si>
  <si>
    <t>En 4 rinçages</t>
  </si>
  <si>
    <t>En 3 rinçages</t>
  </si>
  <si>
    <t>NB : Le volume des cuve de rinçage peut varier de 80 à 500 L selon le fabriquant et le type du pulvérisateur</t>
  </si>
  <si>
    <t>vol théorique 1</t>
  </si>
  <si>
    <t>vol theorique 1</t>
  </si>
  <si>
    <t>En 5 rinçages</t>
  </si>
  <si>
    <t>Total</t>
  </si>
  <si>
    <t>En 1 étape</t>
  </si>
  <si>
    <t>En 2 étapes</t>
  </si>
  <si>
    <t>Volume 1ère dilution</t>
  </si>
  <si>
    <t>Volume 2ème dilution</t>
  </si>
  <si>
    <t>Volume 3ème dilution</t>
  </si>
  <si>
    <t>Volume 4ème dilution</t>
  </si>
  <si>
    <t>Volume 5ème dilution</t>
  </si>
  <si>
    <t>Dilution au 100ème</t>
  </si>
  <si>
    <t>Volume cuve de rinçage [Litres]</t>
  </si>
  <si>
    <t>En 3 étapes</t>
  </si>
  <si>
    <t>En 4 étapes</t>
  </si>
  <si>
    <t>En 5 étapes</t>
  </si>
  <si>
    <t xml:space="preserve">Chaque étape de la dilution du fond de cuve doit être suivie d’une application de celui-ci sur la parcelle venant d’être traitée jusqu’au désamorçage du pulvérisateur.
A Chaque étape, le fond de cuve dilué doit circuler dans tout l'appareil afin de dimluer la totalité du volume mort. </t>
  </si>
  <si>
    <t>En vert : les cases dans lesquelle on peut introduire soi-même des valeurs en fonction du type de matériel et du volume de bouillie restant dans la cuve en fin de chantier.</t>
  </si>
  <si>
    <t>Volume fond du cuve initial [Litres]</t>
  </si>
  <si>
    <t>Message d'erreur : (apparaît si données d'entrées incohérentes)</t>
  </si>
  <si>
    <t>Volume de fond de cuve résiduel  (après désamorçage)[Litres]</t>
  </si>
  <si>
    <t xml:space="preserve">En imposant de diviser par 2 la concentration initiale du fond de cuve en première dilution : </t>
  </si>
  <si>
    <t xml:space="preserve"> /2</t>
  </si>
  <si>
    <t xml:space="preserve"> /3</t>
  </si>
  <si>
    <t xml:space="preserve"> /4</t>
  </si>
  <si>
    <t xml:space="preserve"> /5</t>
  </si>
  <si>
    <t xml:space="preserve"> /6</t>
  </si>
  <si>
    <t xml:space="preserve"> /7</t>
  </si>
  <si>
    <t xml:space="preserve"> /8</t>
  </si>
  <si>
    <t xml:space="preserve"> /9</t>
  </si>
  <si>
    <t xml:space="preserve"> /10</t>
  </si>
  <si>
    <t xml:space="preserve"> vol 1</t>
  </si>
  <si>
    <t xml:space="preserve"> vol 2</t>
  </si>
  <si>
    <t xml:space="preserve"> vol 3</t>
  </si>
  <si>
    <t xml:space="preserve"> vol 4</t>
  </si>
  <si>
    <t xml:space="preserve"> vol 5</t>
  </si>
  <si>
    <t>Volume total</t>
  </si>
  <si>
    <t>Méthode "4 - 4 - 3"</t>
  </si>
  <si>
    <t xml:space="preserve"> 4 - 4 -3</t>
  </si>
  <si>
    <t>Dilution en 2 étapes</t>
  </si>
  <si>
    <t>Dilution en 3 étapes</t>
  </si>
  <si>
    <t>Dilution en 4 étapes</t>
  </si>
  <si>
    <t>Dilution en 5 étapes</t>
  </si>
  <si>
    <t xml:space="preserve">En imposant de diviser par 3 la concentration initiale du fond de cuve en première dilution : </t>
  </si>
  <si>
    <t xml:space="preserve">En imposant de diviser par 4 la concentration initiale du fond de cuve en première dilution : </t>
  </si>
  <si>
    <t xml:space="preserve">En imposant de diviser par 5 la concentration initiale du fond de cuve en première dilution : </t>
  </si>
  <si>
    <t xml:space="preserve">En imposant de diviser par 6 la concentration initiale du fond de cuve en première dilution : </t>
  </si>
  <si>
    <t xml:space="preserve">En imposant de diviser par 7 la concentration initiale du fond de cuve en première dilution : </t>
  </si>
  <si>
    <t xml:space="preserve">En imposant de diviser par 8 la concentration initiale du fond de cuve en première dilution : </t>
  </si>
  <si>
    <t xml:space="preserve">En imposant de diviser par 9 la concentration initiale du fond de cuve en première dilution : </t>
  </si>
  <si>
    <t>Fond du cuve initial [Litres]</t>
  </si>
  <si>
    <t>Fond de cuve résiduel ([Litres]</t>
  </si>
  <si>
    <t>Charge initiale théorique [g de s.a.]</t>
  </si>
  <si>
    <t>Concentration [g de s.a.]</t>
  </si>
  <si>
    <t>Concentration du fond de cuve [g de s.a.]</t>
  </si>
  <si>
    <t>Concentration théorique du fond de cuve [g de s.a.]</t>
  </si>
  <si>
    <t xml:space="preserve"> /15</t>
  </si>
  <si>
    <t>Méthode 1</t>
  </si>
  <si>
    <t xml:space="preserve">Volume cuve de rinçage </t>
  </si>
  <si>
    <t>[Litres]</t>
  </si>
  <si>
    <t>Volume fond du cuve initial</t>
  </si>
  <si>
    <t>Volume de fond de cuve résiduel  (après désamorçage)</t>
  </si>
  <si>
    <t>MINIMUM</t>
  </si>
  <si>
    <t>Indiquez dans les cases vertes : 
# Le volume de votre cuve de rinçage
# Le volume technique restant dans le fond de votre cuve après désamorçage de la pompe
# Le volume de bouillie excédentaire présent dans la cuve en fin de chantier de pulvérisation</t>
  </si>
  <si>
    <t>Volume de bouillie excédentaire [Litres]</t>
  </si>
  <si>
    <t xml:space="preserve">Chaque étape de la dilution du fond de cuve doit être suivie d’une application de celui-ci sur la parcelle venant d’être traitée jusqu’au désamorçage du pulvérisateur.
A chaque étape, le fond de cuve dilué doit circuler dans tout l'appareil afin de diluer la totalité du volume mort. </t>
  </si>
  <si>
    <t>Calculatrice de dilution du fond de cuve au 100ème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</si>
</sst>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9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21"/>
      </bottom>
      <diagonal/>
    </border>
  </borders>
  <cellStyleXfs count="7">
    <xf numFmtId="0" fontId="0" fillId="0" borderId="0"/>
    <xf numFmtId="0" fontId="3" fillId="6" borderId="5" applyNumberFormat="0" applyAlignment="0" applyProtection="0"/>
    <xf numFmtId="0" fontId="4" fillId="7" borderId="6" applyNumberFormat="0" applyAlignment="0" applyProtection="0"/>
    <xf numFmtId="0" fontId="2" fillId="8" borderId="7" applyNumberFormat="0" applyFont="0" applyAlignment="0" applyProtection="0"/>
    <xf numFmtId="0" fontId="6" fillId="6" borderId="8" applyNumberFormat="0" applyAlignment="0" applyProtection="0"/>
    <xf numFmtId="0" fontId="7" fillId="9" borderId="0" applyNumberFormat="0" applyBorder="0" applyAlignment="0" applyProtection="0"/>
    <xf numFmtId="0" fontId="9" fillId="0" borderId="9" applyNumberFormat="0" applyFill="0" applyAlignment="0" applyProtection="0"/>
  </cellStyleXfs>
  <cellXfs count="95">
    <xf numFmtId="0" fontId="0" fillId="0" borderId="0" xfId="0"/>
    <xf numFmtId="0" fontId="0" fillId="0" borderId="0" xfId="0" applyAlignment="1">
      <alignment horizontal="right"/>
    </xf>
    <xf numFmtId="0" fontId="0" fillId="0" borderId="2" xfId="0" applyBorder="1"/>
    <xf numFmtId="0" fontId="0" fillId="2" borderId="0" xfId="0" applyFill="1"/>
    <xf numFmtId="0" fontId="1" fillId="0" borderId="0" xfId="0" applyFont="1"/>
    <xf numFmtId="0" fontId="0" fillId="3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0" fontId="0" fillId="0" borderId="0" xfId="0" applyAlignment="1">
      <alignment wrapText="1"/>
    </xf>
    <xf numFmtId="1" fontId="0" fillId="0" borderId="0" xfId="0" applyNumberFormat="1"/>
    <xf numFmtId="1" fontId="0" fillId="3" borderId="1" xfId="0" applyNumberFormat="1" applyFill="1" applyBorder="1"/>
    <xf numFmtId="1" fontId="0" fillId="5" borderId="1" xfId="0" applyNumberFormat="1" applyFill="1" applyBorder="1"/>
    <xf numFmtId="1" fontId="0" fillId="0" borderId="0" xfId="0" applyNumberFormat="1" applyAlignment="1">
      <alignment horizontal="right"/>
    </xf>
    <xf numFmtId="1" fontId="0" fillId="0" borderId="2" xfId="0" applyNumberFormat="1" applyBorder="1"/>
    <xf numFmtId="0" fontId="0" fillId="0" borderId="3" xfId="0" applyBorder="1"/>
    <xf numFmtId="0" fontId="0" fillId="0" borderId="4" xfId="0" applyBorder="1"/>
    <xf numFmtId="164" fontId="0" fillId="0" borderId="0" xfId="0" applyNumberFormat="1"/>
    <xf numFmtId="0" fontId="3" fillId="6" borderId="5" xfId="1"/>
    <xf numFmtId="1" fontId="3" fillId="6" borderId="5" xfId="1" applyNumberFormat="1"/>
    <xf numFmtId="0" fontId="4" fillId="7" borderId="6" xfId="2"/>
    <xf numFmtId="0" fontId="0" fillId="0" borderId="0" xfId="0" applyAlignment="1">
      <alignment horizontal="left"/>
    </xf>
    <xf numFmtId="0" fontId="1" fillId="8" borderId="7" xfId="3" applyFont="1"/>
    <xf numFmtId="0" fontId="5" fillId="0" borderId="0" xfId="0" applyFont="1" applyAlignment="1">
      <alignment horizontal="left"/>
    </xf>
    <xf numFmtId="1" fontId="5" fillId="0" borderId="0" xfId="0" applyNumberFormat="1" applyFont="1"/>
    <xf numFmtId="1" fontId="0" fillId="0" borderId="0" xfId="0" applyNumberFormat="1" applyAlignment="1">
      <alignment horizontal="left"/>
    </xf>
    <xf numFmtId="0" fontId="3" fillId="6" borderId="5" xfId="1" applyAlignment="1">
      <alignment horizontal="left" vertical="top"/>
    </xf>
    <xf numFmtId="1" fontId="3" fillId="6" borderId="5" xfId="1" applyNumberFormat="1" applyAlignment="1">
      <alignment horizontal="right" vertical="top" wrapText="1"/>
    </xf>
    <xf numFmtId="1" fontId="4" fillId="7" borderId="6" xfId="2" applyNumberFormat="1" applyAlignment="1">
      <alignment horizontal="right" vertical="top" wrapText="1"/>
    </xf>
    <xf numFmtId="1" fontId="3" fillId="6" borderId="5" xfId="1" applyNumberFormat="1" applyAlignment="1">
      <alignment horizontal="right"/>
    </xf>
    <xf numFmtId="1" fontId="3" fillId="6" borderId="5" xfId="1" applyNumberFormat="1" applyAlignment="1">
      <alignment horizontal="righ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1" fontId="4" fillId="7" borderId="6" xfId="2" applyNumberFormat="1" applyAlignment="1">
      <alignment horizontal="right"/>
    </xf>
    <xf numFmtId="0" fontId="4" fillId="7" borderId="6" xfId="2" applyAlignment="1">
      <alignment horizontal="right" wrapText="1"/>
    </xf>
    <xf numFmtId="1" fontId="4" fillId="7" borderId="6" xfId="2" applyNumberFormat="1" applyAlignment="1">
      <alignment horizontal="right" wrapText="1"/>
    </xf>
    <xf numFmtId="1" fontId="0" fillId="3" borderId="1" xfId="0" applyNumberFormat="1" applyFill="1" applyBorder="1" applyProtection="1">
      <protection locked="0"/>
    </xf>
    <xf numFmtId="1" fontId="6" fillId="6" borderId="8" xfId="4" applyNumberFormat="1" applyAlignment="1" applyProtection="1">
      <alignment horizontal="left"/>
    </xf>
    <xf numFmtId="1" fontId="3" fillId="6" borderId="5" xfId="1" applyNumberFormat="1" applyAlignment="1" applyProtection="1">
      <alignment horizontal="left"/>
    </xf>
    <xf numFmtId="0" fontId="0" fillId="0" borderId="0" xfId="0" applyProtection="1"/>
    <xf numFmtId="1" fontId="0" fillId="3" borderId="1" xfId="0" applyNumberFormat="1" applyFill="1" applyBorder="1" applyProtection="1"/>
    <xf numFmtId="1" fontId="0" fillId="0" borderId="0" xfId="0" applyNumberFormat="1" applyProtection="1"/>
    <xf numFmtId="49" fontId="9" fillId="0" borderId="9" xfId="6" applyNumberFormat="1" applyAlignment="1" applyProtection="1">
      <alignment horizontal="center"/>
    </xf>
    <xf numFmtId="0" fontId="9" fillId="0" borderId="9" xfId="6" applyAlignment="1" applyProtection="1">
      <alignment horizontal="center"/>
    </xf>
    <xf numFmtId="0" fontId="9" fillId="0" borderId="9" xfId="6" applyProtection="1"/>
    <xf numFmtId="0" fontId="1" fillId="0" borderId="0" xfId="0" applyFont="1" applyAlignment="1" applyProtection="1">
      <alignment horizontal="right"/>
    </xf>
    <xf numFmtId="1" fontId="0" fillId="0" borderId="0" xfId="0" applyNumberFormat="1" applyAlignment="1" applyProtection="1"/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1" fontId="8" fillId="0" borderId="0" xfId="0" applyNumberFormat="1" applyFont="1" applyAlignment="1" applyProtection="1"/>
    <xf numFmtId="1" fontId="8" fillId="0" borderId="0" xfId="0" applyNumberFormat="1" applyFont="1" applyProtection="1"/>
    <xf numFmtId="0" fontId="8" fillId="0" borderId="0" xfId="0" applyFont="1" applyFill="1" applyProtection="1"/>
    <xf numFmtId="1" fontId="0" fillId="0" borderId="0" xfId="0" applyNumberFormat="1" applyAlignment="1" applyProtection="1">
      <alignment horizontal="right"/>
    </xf>
    <xf numFmtId="0" fontId="0" fillId="3" borderId="0" xfId="0" applyFill="1" applyAlignment="1" applyProtection="1">
      <alignment vertical="top" wrapText="1"/>
    </xf>
    <xf numFmtId="0" fontId="0" fillId="4" borderId="0" xfId="0" applyFill="1" applyAlignment="1" applyProtection="1">
      <alignment vertical="top" wrapText="1"/>
    </xf>
    <xf numFmtId="0" fontId="0" fillId="2" borderId="0" xfId="0" applyFill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wrapText="1"/>
    </xf>
    <xf numFmtId="1" fontId="0" fillId="5" borderId="1" xfId="0" applyNumberFormat="1" applyFill="1" applyBorder="1" applyProtection="1"/>
    <xf numFmtId="0" fontId="1" fillId="8" borderId="7" xfId="3" applyFont="1" applyProtection="1"/>
    <xf numFmtId="0" fontId="0" fillId="0" borderId="0" xfId="0" applyAlignment="1" applyProtection="1">
      <alignment horizontal="center" vertical="center"/>
    </xf>
    <xf numFmtId="0" fontId="3" fillId="6" borderId="5" xfId="1" applyProtection="1"/>
    <xf numFmtId="1" fontId="3" fillId="6" borderId="5" xfId="1" applyNumberFormat="1" applyProtection="1"/>
    <xf numFmtId="0" fontId="4" fillId="7" borderId="6" xfId="2" applyProtection="1"/>
    <xf numFmtId="0" fontId="0" fillId="0" borderId="0" xfId="0" applyAlignment="1" applyProtection="1">
      <alignment horizontal="right" wrapText="1"/>
    </xf>
    <xf numFmtId="0" fontId="0" fillId="0" borderId="2" xfId="0" applyBorder="1" applyProtection="1"/>
    <xf numFmtId="1" fontId="3" fillId="6" borderId="5" xfId="1" applyNumberFormat="1" applyAlignment="1" applyProtection="1">
      <alignment horizontal="right" vertical="top"/>
    </xf>
    <xf numFmtId="1" fontId="3" fillId="6" borderId="5" xfId="1" applyNumberFormat="1" applyAlignment="1" applyProtection="1">
      <alignment horizontal="right"/>
    </xf>
    <xf numFmtId="1" fontId="0" fillId="0" borderId="2" xfId="0" applyNumberFormat="1" applyBorder="1" applyProtection="1"/>
    <xf numFmtId="1" fontId="4" fillId="7" borderId="6" xfId="2" applyNumberFormat="1" applyAlignment="1" applyProtection="1">
      <alignment horizontal="right"/>
    </xf>
    <xf numFmtId="0" fontId="0" fillId="0" borderId="4" xfId="0" applyBorder="1" applyProtection="1"/>
    <xf numFmtId="0" fontId="0" fillId="0" borderId="3" xfId="0" applyBorder="1" applyProtection="1"/>
    <xf numFmtId="1" fontId="4" fillId="7" borderId="6" xfId="2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left" vertical="top"/>
    </xf>
    <xf numFmtId="1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 wrapText="1"/>
    </xf>
    <xf numFmtId="0" fontId="7" fillId="9" borderId="0" xfId="5" applyProtection="1"/>
    <xf numFmtId="0" fontId="0" fillId="5" borderId="0" xfId="0" applyFill="1" applyProtection="1"/>
    <xf numFmtId="0" fontId="0" fillId="5" borderId="0" xfId="0" applyFill="1" applyBorder="1" applyAlignment="1" applyProtection="1">
      <alignment horizontal="left" vertical="top"/>
    </xf>
    <xf numFmtId="0" fontId="0" fillId="5" borderId="0" xfId="0" applyFill="1" applyAlignment="1" applyProtection="1">
      <alignment horizontal="left"/>
    </xf>
    <xf numFmtId="0" fontId="1" fillId="5" borderId="0" xfId="0" applyFont="1" applyFill="1" applyProtection="1"/>
    <xf numFmtId="0" fontId="8" fillId="5" borderId="0" xfId="0" applyFont="1" applyFill="1" applyProtection="1"/>
    <xf numFmtId="1" fontId="0" fillId="5" borderId="0" xfId="0" applyNumberFormat="1" applyFill="1" applyAlignment="1" applyProtection="1">
      <alignment horizontal="left"/>
    </xf>
    <xf numFmtId="1" fontId="0" fillId="5" borderId="0" xfId="0" applyNumberFormat="1" applyFill="1" applyProtection="1"/>
    <xf numFmtId="0" fontId="10" fillId="5" borderId="0" xfId="0" applyFont="1" applyFill="1" applyBorder="1" applyAlignment="1" applyProtection="1">
      <alignment horizontal="center" wrapText="1"/>
    </xf>
    <xf numFmtId="0" fontId="0" fillId="5" borderId="0" xfId="0" applyFill="1" applyAlignment="1" applyProtection="1">
      <alignment horizontal="left" vertical="top"/>
    </xf>
    <xf numFmtId="0" fontId="0" fillId="8" borderId="7" xfId="3" applyFont="1" applyAlignment="1" applyProtection="1">
      <alignment horizontal="left" vertical="center" wrapText="1"/>
    </xf>
    <xf numFmtId="0" fontId="0" fillId="8" borderId="7" xfId="3" applyFont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8" borderId="7" xfId="3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Alignment="1" applyProtection="1">
      <alignment horizontal="left" vertical="top" wrapText="1"/>
    </xf>
  </cellXfs>
  <cellStyles count="7">
    <cellStyle name="Accent6" xfId="5" builtinId="49"/>
    <cellStyle name="Calcul" xfId="4" builtinId="22"/>
    <cellStyle name="Normal" xfId="0" builtinId="0"/>
    <cellStyle name="Note" xfId="3" builtinId="10"/>
    <cellStyle name="Sortie" xfId="1" builtinId="21"/>
    <cellStyle name="Titre 3" xfId="6" builtinId="18"/>
    <cellStyle name="Vérification" xfId="2" builtinId="23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1346200</xdr:colOff>
      <xdr:row>1</xdr:row>
      <xdr:rowOff>190500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46200" cy="134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1"/>
  <sheetViews>
    <sheetView tabSelected="1" zoomScale="75" zoomScaleNormal="75" workbookViewId="0">
      <selection activeCell="C6" sqref="C6"/>
    </sheetView>
  </sheetViews>
  <sheetFormatPr baseColWidth="10" defaultColWidth="11.44140625" defaultRowHeight="14.4" x14ac:dyDescent="0.3"/>
  <cols>
    <col min="1" max="1" width="20.5546875" style="78" customWidth="1"/>
    <col min="2" max="2" width="45.5546875" style="78" customWidth="1"/>
    <col min="3" max="3" width="19.44140625" style="78" customWidth="1"/>
    <col min="4" max="4" width="11.44140625" style="78"/>
    <col min="5" max="5" width="57.109375" style="78" customWidth="1"/>
    <col min="6" max="16384" width="11.44140625" style="78"/>
  </cols>
  <sheetData>
    <row r="1" spans="1:23" ht="90.75" customHeight="1" x14ac:dyDescent="0.35">
      <c r="B1" s="85" t="s">
        <v>72</v>
      </c>
      <c r="C1" s="85"/>
    </row>
    <row r="2" spans="1:23" s="38" customFormat="1" ht="25.5" customHeight="1" x14ac:dyDescent="0.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3" s="38" customFormat="1" ht="64.5" customHeight="1" x14ac:dyDescent="0.3">
      <c r="A3" s="88" t="s">
        <v>69</v>
      </c>
      <c r="B3" s="88"/>
      <c r="C3" s="8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s="38" customForma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</row>
    <row r="5" spans="1:23" s="38" customFormat="1" ht="15.75" customHeight="1" x14ac:dyDescent="0.3">
      <c r="A5" s="89" t="s">
        <v>18</v>
      </c>
      <c r="B5" s="89"/>
      <c r="C5" s="35">
        <v>500</v>
      </c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</row>
    <row r="6" spans="1:23" s="38" customFormat="1" x14ac:dyDescent="0.3">
      <c r="A6" s="89" t="s">
        <v>26</v>
      </c>
      <c r="B6" s="89"/>
      <c r="C6" s="35">
        <v>10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</row>
    <row r="7" spans="1:23" s="38" customFormat="1" x14ac:dyDescent="0.3">
      <c r="A7" s="89" t="s">
        <v>70</v>
      </c>
      <c r="B7" s="89"/>
      <c r="C7" s="35">
        <v>30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</row>
    <row r="8" spans="1:23" s="38" customFormat="1" x14ac:dyDescent="0.3">
      <c r="A8" s="79"/>
      <c r="B8" s="79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</row>
    <row r="9" spans="1:23" s="38" customFormat="1" x14ac:dyDescent="0.3">
      <c r="A9" s="86"/>
      <c r="B9" s="86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spans="1:23" s="38" customFormat="1" x14ac:dyDescent="0.3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spans="1:23" s="38" customFormat="1" x14ac:dyDescent="0.3">
      <c r="A11" s="77" t="s">
        <v>17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spans="1:23" s="38" customFormat="1" x14ac:dyDescent="0.3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spans="1:23" s="38" customFormat="1" x14ac:dyDescent="0.3">
      <c r="A13" s="81" t="s">
        <v>10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spans="1:23" s="38" customFormat="1" x14ac:dyDescent="0.3">
      <c r="A14" s="78" t="s">
        <v>42</v>
      </c>
      <c r="B14" s="36" t="str">
        <f>IF(99*'Optimalisation - Choix méthode'!B2&gt;'Optimalisation - Choix méthode'!B1,"Volume d'eau claire insuffisant",99*'Optimalisation - Choix méthode'!B2)</f>
        <v>Volume d'eau claire insuffisant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spans="1:23" s="38" customFormat="1" x14ac:dyDescent="0.3">
      <c r="A15" s="78"/>
      <c r="B15" s="8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spans="1:23" s="38" customFormat="1" x14ac:dyDescent="0.3">
      <c r="A16" s="81" t="s">
        <v>11</v>
      </c>
      <c r="B16" s="80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</row>
    <row r="17" spans="1:23" s="38" customFormat="1" x14ac:dyDescent="0.3">
      <c r="A17" s="78" t="s">
        <v>42</v>
      </c>
      <c r="B17" s="36">
        <f>IFERROR((HLOOKUP('Optimalisation - Choix méthode'!N7,'Optimalisation - Choix méthode'!C7:L9,1,FALSE)),"Volume d'eau claire insuffisant")</f>
        <v>306.66666666666669</v>
      </c>
      <c r="C17" s="78"/>
      <c r="D17" s="84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</row>
    <row r="18" spans="1:23" s="38" customFormat="1" x14ac:dyDescent="0.3">
      <c r="A18" s="82" t="s">
        <v>12</v>
      </c>
      <c r="B18" s="37">
        <f>IFERROR((HLOOKUP('Optimalisation - Choix méthode'!N7,'Optimalisation - Choix méthode'!C7:L9,2,FALSE)),"Volume d'eau claire insuffisant")</f>
        <v>150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</row>
    <row r="19" spans="1:23" s="38" customFormat="1" x14ac:dyDescent="0.3">
      <c r="A19" s="82" t="s">
        <v>13</v>
      </c>
      <c r="B19" s="37">
        <f>IFERROR((HLOOKUP('Optimalisation - Choix méthode'!N7,'Optimalisation - Choix méthode'!C7:L9,3,FALSE)),"Volume d'eau claire insuffisant")</f>
        <v>156.66666666666669</v>
      </c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</row>
    <row r="20" spans="1:23" s="38" customFormat="1" x14ac:dyDescent="0.3">
      <c r="A20" s="82"/>
      <c r="B20" s="80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</row>
    <row r="21" spans="1:23" s="38" customFormat="1" x14ac:dyDescent="0.3">
      <c r="A21" s="81" t="s">
        <v>19</v>
      </c>
      <c r="B21" s="80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</row>
    <row r="22" spans="1:23" s="38" customFormat="1" x14ac:dyDescent="0.3">
      <c r="A22" s="78" t="s">
        <v>42</v>
      </c>
      <c r="B22" s="36">
        <f>IFERROR((HLOOKUP('Optimalisation - Choix méthode'!N12,'Optimalisation - Choix méthode'!B12:L15,1,FALSE)),"Volume d'eau claire insuffisant")</f>
        <v>151.42135623730951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</row>
    <row r="23" spans="1:23" s="38" customFormat="1" x14ac:dyDescent="0.3">
      <c r="A23" s="82" t="s">
        <v>12</v>
      </c>
      <c r="B23" s="37">
        <f>IFERROR((HLOOKUP('Optimalisation - Choix méthode'!N12,'Optimalisation - Choix méthode'!C12:L14,2,FALSE)),"Volume d'eau claire insuffisant")</f>
        <v>30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</row>
    <row r="24" spans="1:23" s="38" customFormat="1" x14ac:dyDescent="0.3">
      <c r="A24" s="82" t="s">
        <v>13</v>
      </c>
      <c r="B24" s="37">
        <f>IFERROR((HLOOKUP('Optimalisation - Choix méthode'!N12,'Optimalisation - Choix méthode'!C12:L14,3,FALSE)),"Volume d'eau claire insuffisant")</f>
        <v>60.710678118654755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</row>
    <row r="25" spans="1:23" s="38" customFormat="1" x14ac:dyDescent="0.3">
      <c r="A25" s="82" t="s">
        <v>14</v>
      </c>
      <c r="B25" s="37">
        <f>IFERROR((HLOOKUP('Optimalisation - Choix méthode'!N12,'Optimalisation - Choix méthode'!C12:L15,4,FALSE)),"Volume d'eau claire insuffisant")</f>
        <v>60.710678118654755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</row>
    <row r="26" spans="1:23" s="38" customFormat="1" x14ac:dyDescent="0.3">
      <c r="A26" s="82"/>
      <c r="B26" s="80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</row>
    <row r="27" spans="1:23" s="38" customFormat="1" x14ac:dyDescent="0.3">
      <c r="A27" s="81" t="s">
        <v>20</v>
      </c>
      <c r="B27" s="83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</row>
    <row r="28" spans="1:23" s="38" customFormat="1" x14ac:dyDescent="0.3">
      <c r="A28" s="78" t="s">
        <v>42</v>
      </c>
      <c r="B28" s="36">
        <f>IFERROR((HLOOKUP('Optimalisation - Choix méthode'!N18,'Optimalisation - Choix méthode'!C18:L22,1,FALSE)),"Volume d'eau claire insuffisant")</f>
        <v>110.5209449592116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</row>
    <row r="29" spans="1:23" s="38" customFormat="1" x14ac:dyDescent="0.3">
      <c r="A29" s="82" t="s">
        <v>12</v>
      </c>
      <c r="B29" s="37">
        <f>IFERROR((HLOOKUP('Optimalisation - Choix méthode'!N18,'Optimalisation - Choix méthode'!C18:L20,2,FALSE)),"Volume d'eau claire insuffisant")</f>
        <v>30</v>
      </c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</row>
    <row r="30" spans="1:23" s="38" customFormat="1" x14ac:dyDescent="0.3">
      <c r="A30" s="82" t="s">
        <v>13</v>
      </c>
      <c r="B30" s="37">
        <f>IFERROR((HLOOKUP('Optimalisation - Choix méthode'!N18,'Optimalisation - Choix méthode'!C18:L20,3,FALSE)),"Volume d'eau claire insuffisant")</f>
        <v>26.840314986403865</v>
      </c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</row>
    <row r="31" spans="1:23" s="38" customFormat="1" x14ac:dyDescent="0.3">
      <c r="A31" s="82" t="s">
        <v>14</v>
      </c>
      <c r="B31" s="37">
        <f>IFERROR((HLOOKUP('Optimalisation - Choix méthode'!N18,'Optimalisation - Choix méthode'!C18:L21,4,FALSE)),"Volume d'eau claire insuffisant")</f>
        <v>26.840314986403865</v>
      </c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</row>
    <row r="32" spans="1:23" s="38" customFormat="1" x14ac:dyDescent="0.3">
      <c r="A32" s="82" t="s">
        <v>15</v>
      </c>
      <c r="B32" s="37">
        <f>IFERROR((HLOOKUP('Optimalisation - Choix méthode'!N18,'Optimalisation - Choix méthode'!C18:L22,5,FALSE)),"Volume d'eau claire insuffisant")</f>
        <v>26.840314986403865</v>
      </c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</row>
    <row r="33" spans="1:23" s="38" customFormat="1" x14ac:dyDescent="0.3">
      <c r="A33" s="82"/>
      <c r="B33" s="80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</row>
    <row r="34" spans="1:23" s="38" customFormat="1" x14ac:dyDescent="0.3">
      <c r="A34" s="81" t="s">
        <v>21</v>
      </c>
      <c r="B34" s="83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</row>
    <row r="35" spans="1:23" s="38" customFormat="1" x14ac:dyDescent="0.3">
      <c r="A35" s="78" t="s">
        <v>42</v>
      </c>
      <c r="B35" s="36">
        <f>IFERROR((HLOOKUP('Optimalisation - Choix méthode'!N25,'Optimalisation - Choix méthode'!C25:L27,1,FALSE)),"Volume d'eau claire insuffisant")</f>
        <v>96.36591793889977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</row>
    <row r="36" spans="1:23" s="38" customFormat="1" x14ac:dyDescent="0.3">
      <c r="A36" s="82" t="s">
        <v>12</v>
      </c>
      <c r="B36" s="37">
        <f>IFERROR((HLOOKUP('Optimalisation - Choix méthode'!N25,'Optimalisation - Choix méthode'!C25:L27,2,FALSE)),"Volume d'eau claire insuffisant")</f>
        <v>30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</row>
    <row r="37" spans="1:23" s="38" customFormat="1" x14ac:dyDescent="0.3">
      <c r="A37" s="82" t="s">
        <v>13</v>
      </c>
      <c r="B37" s="37">
        <f>IFERROR((HLOOKUP('Optimalisation - Choix méthode'!N25,'Optimalisation - Choix méthode'!C25:L27,3,FALSE)),"Volume d'eau claire insuffisant")</f>
        <v>16.591479484724942</v>
      </c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</row>
    <row r="38" spans="1:23" s="38" customFormat="1" x14ac:dyDescent="0.3">
      <c r="A38" s="82" t="s">
        <v>14</v>
      </c>
      <c r="B38" s="37">
        <f>IFERROR((HLOOKUP('Optimalisation - Choix méthode'!N25,'Optimalisation - Choix méthode'!C25:L29,4,FALSE)),"Volume d'eau claire insuffisant")</f>
        <v>16.591479484724942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</row>
    <row r="39" spans="1:23" s="38" customFormat="1" x14ac:dyDescent="0.3">
      <c r="A39" s="82" t="s">
        <v>15</v>
      </c>
      <c r="B39" s="37">
        <f>IFERROR((HLOOKUP('Optimalisation - Choix méthode'!N25,'Optimalisation - Choix méthode'!C25:L29,5,FALSE)),"Volume d'eau claire insuffisant")</f>
        <v>16.591479484724942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</row>
    <row r="40" spans="1:23" s="38" customFormat="1" x14ac:dyDescent="0.3">
      <c r="A40" s="82" t="s">
        <v>16</v>
      </c>
      <c r="B40" s="37">
        <f>IFERROR((HLOOKUP('Optimalisation - Choix méthode'!N25,'Optimalisation - Choix méthode'!B25:L31,6,FALSE)),"Volume d'eau claire insuffisant")</f>
        <v>16.591479484724942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</row>
    <row r="41" spans="1:23" s="38" customFormat="1" x14ac:dyDescent="0.3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</row>
    <row r="42" spans="1:23" s="38" customFormat="1" ht="96.75" customHeight="1" x14ac:dyDescent="0.3">
      <c r="A42" s="87" t="s">
        <v>71</v>
      </c>
      <c r="B42" s="87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</row>
    <row r="43" spans="1:23" s="38" customFormat="1" x14ac:dyDescent="0.3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</row>
    <row r="44" spans="1:23" s="38" customFormat="1" x14ac:dyDescent="0.3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</row>
    <row r="45" spans="1:23" s="38" customFormat="1" x14ac:dyDescent="0.3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</row>
    <row r="46" spans="1:23" s="38" customFormat="1" x14ac:dyDescent="0.3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</row>
    <row r="47" spans="1:23" s="38" customFormat="1" x14ac:dyDescent="0.3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</row>
    <row r="48" spans="1:23" s="38" customFormat="1" x14ac:dyDescent="0.3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</row>
    <row r="49" spans="1:23" s="38" customFormat="1" x14ac:dyDescent="0.3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</row>
    <row r="50" spans="1:23" s="38" customFormat="1" x14ac:dyDescent="0.3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</row>
    <row r="51" spans="1:23" s="38" customFormat="1" x14ac:dyDescent="0.3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</row>
  </sheetData>
  <sheetProtection password="F76B" sheet="1" objects="1" scenarios="1" selectLockedCells="1"/>
  <mergeCells count="7">
    <mergeCell ref="B1:C1"/>
    <mergeCell ref="A9:B9"/>
    <mergeCell ref="A42:B42"/>
    <mergeCell ref="A3:C3"/>
    <mergeCell ref="A6:B6"/>
    <mergeCell ref="A7:B7"/>
    <mergeCell ref="A5:B5"/>
  </mergeCells>
  <conditionalFormatting sqref="B14:B40">
    <cfRule type="containsText" dxfId="67" priority="3" operator="containsText" text="Volume">
      <formula>NOT(ISERROR(SEARCH("Volume",B14)))</formula>
    </cfRule>
  </conditionalFormatting>
  <conditionalFormatting sqref="A9:B9">
    <cfRule type="containsText" dxfId="66" priority="1" operator="containsText" text="Erreur">
      <formula>NOT(ISERROR(SEARCH("Erreur",A9)))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1"/>
  <sheetViews>
    <sheetView workbookViewId="0">
      <selection activeCell="D2" sqref="D2"/>
    </sheetView>
  </sheetViews>
  <sheetFormatPr baseColWidth="10" defaultRowHeight="14.4" x14ac:dyDescent="0.3"/>
  <cols>
    <col min="1" max="1" width="57.33203125" customWidth="1"/>
    <col min="2" max="2" width="42" customWidth="1"/>
    <col min="3" max="3" width="11.44140625" style="19"/>
    <col min="4" max="4" width="48.109375" customWidth="1"/>
  </cols>
  <sheetData>
    <row r="1" spans="1:4" x14ac:dyDescent="0.3">
      <c r="A1" s="91" t="s">
        <v>54</v>
      </c>
      <c r="B1" s="91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1" spans="1:4" x14ac:dyDescent="0.3">
      <c r="A11" s="30"/>
      <c r="B11" s="30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32" t="str">
        <f>IF(B13&gt;B4,"Impossible : Volume d'eau claire insuffisant",B13)</f>
        <v>Impossible : Volume d'eau claire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17">
        <f>7*$B$5</f>
        <v>210</v>
      </c>
      <c r="C17" s="19" t="s">
        <v>1</v>
      </c>
      <c r="D17" s="8">
        <f>((B7*B5)/(B5+B17))</f>
        <v>12.5</v>
      </c>
    </row>
    <row r="18" spans="1:4" ht="15" thickBot="1" x14ac:dyDescent="0.35">
      <c r="A18" s="16" t="s">
        <v>13</v>
      </c>
      <c r="B18" s="17">
        <f>(D17-1)*B6</f>
        <v>115</v>
      </c>
      <c r="C18" s="19" t="s">
        <v>1</v>
      </c>
      <c r="D18" s="12">
        <f>(D17/(B18+B6))*B6</f>
        <v>1</v>
      </c>
    </row>
    <row r="19" spans="1:4" ht="15.6" thickTop="1" thickBot="1" x14ac:dyDescent="0.35">
      <c r="A19" s="18" t="s">
        <v>9</v>
      </c>
      <c r="B19" s="32">
        <f>IF(B17+B18&gt;B4,"Impossible : Volume d'eau claire insuffisant",B17+B18)</f>
        <v>325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17">
        <f>7*$B$5</f>
        <v>210</v>
      </c>
      <c r="C22" s="19" t="s">
        <v>1</v>
      </c>
      <c r="D22" s="8">
        <f>(B5*B7)/(B5+B22)</f>
        <v>12.5</v>
      </c>
    </row>
    <row r="23" spans="1:4" ht="15" thickBot="1" x14ac:dyDescent="0.35">
      <c r="A23" s="16" t="s">
        <v>13</v>
      </c>
      <c r="B23" s="17">
        <f>($D$22^(1/2)-1)*$B$6</f>
        <v>25.355339059327378</v>
      </c>
      <c r="C23" s="19" t="s">
        <v>1</v>
      </c>
      <c r="D23" s="8">
        <f>((D22*B6)/(B6+B23))</f>
        <v>3.5355339059327373</v>
      </c>
    </row>
    <row r="24" spans="1:4" ht="15" thickBot="1" x14ac:dyDescent="0.35">
      <c r="A24" s="16" t="s">
        <v>14</v>
      </c>
      <c r="B24" s="17">
        <f>($D$22^(1/2)-1)*$B$6</f>
        <v>25.355339059327378</v>
      </c>
      <c r="C24" s="19" t="s">
        <v>1</v>
      </c>
      <c r="D24" s="14">
        <f>((D23*B6)/(B6+B24))</f>
        <v>0.99999999999999978</v>
      </c>
    </row>
    <row r="25" spans="1:4" ht="15.6" thickTop="1" thickBot="1" x14ac:dyDescent="0.35">
      <c r="A25" s="18" t="s">
        <v>9</v>
      </c>
      <c r="B25" s="32">
        <f>IF(B22+B23+B24&gt;B4,"Impossible : Volume d'eau claire insuffisant",B22+B23+B24)</f>
        <v>260.71067811865476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17">
        <f>7*$B$5</f>
        <v>210</v>
      </c>
      <c r="C28" s="19" t="s">
        <v>1</v>
      </c>
      <c r="D28" s="8">
        <f>($B$5*B7)/($B$5+B28)</f>
        <v>12.5</v>
      </c>
    </row>
    <row r="29" spans="1:4" x14ac:dyDescent="0.3">
      <c r="A29" s="16" t="s">
        <v>13</v>
      </c>
      <c r="B29" s="17">
        <f>($D$28^(1/3)-1)*$B$6</f>
        <v>13.207944168063896</v>
      </c>
      <c r="C29" s="19" t="s">
        <v>1</v>
      </c>
      <c r="D29" s="8">
        <f>($B$6*D28)/($B$6+B29)</f>
        <v>5.3860867250797089</v>
      </c>
    </row>
    <row r="30" spans="1:4" ht="15" thickBot="1" x14ac:dyDescent="0.35">
      <c r="A30" s="16" t="s">
        <v>14</v>
      </c>
      <c r="B30" s="17">
        <f>($D$28^(1/3)-1)*$B$6</f>
        <v>13.207944168063896</v>
      </c>
      <c r="C30" s="19" t="s">
        <v>1</v>
      </c>
      <c r="D30" s="8">
        <f>($B$6*D29)/($B$6+B30)</f>
        <v>2.3207944168063888</v>
      </c>
    </row>
    <row r="31" spans="1:4" ht="15" thickBot="1" x14ac:dyDescent="0.35">
      <c r="A31" s="16" t="s">
        <v>15</v>
      </c>
      <c r="B31" s="17">
        <f>($D$28^(1/3)-1)*$B$6</f>
        <v>13.207944168063896</v>
      </c>
      <c r="C31" s="19" t="s">
        <v>1</v>
      </c>
      <c r="D31" s="14">
        <f>(D30*$B$6)/($B$6+B31)</f>
        <v>0.99999999999999967</v>
      </c>
    </row>
    <row r="32" spans="1:4" ht="15.6" thickTop="1" thickBot="1" x14ac:dyDescent="0.35">
      <c r="A32" s="18" t="s">
        <v>9</v>
      </c>
      <c r="B32" s="32">
        <f>IF(B28+B29+B30+B31&gt;B4,"Impossible : Volume d'eauc laire insuffisant",B28+B29+B30+B31)</f>
        <v>249.62383250419171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17">
        <f>7*$B$5</f>
        <v>210</v>
      </c>
      <c r="C35" s="19" t="s">
        <v>1</v>
      </c>
      <c r="D35" s="8">
        <f>($B$5*B7)/($B$5+B35)</f>
        <v>12.5</v>
      </c>
    </row>
    <row r="36" spans="1:4" x14ac:dyDescent="0.3">
      <c r="A36" s="16" t="s">
        <v>13</v>
      </c>
      <c r="B36" s="17">
        <f>($D$35^(1/4)-1)*$B$6</f>
        <v>8.8030154654319688</v>
      </c>
      <c r="C36" s="19" t="s">
        <v>1</v>
      </c>
      <c r="D36" s="8">
        <f>($B$6*D35)/($B$6+B36)</f>
        <v>6.6478698711812356</v>
      </c>
    </row>
    <row r="37" spans="1:4" x14ac:dyDescent="0.3">
      <c r="A37" s="16" t="s">
        <v>14</v>
      </c>
      <c r="B37" s="17">
        <f>($D$35^(1/4)-1)*$B$6</f>
        <v>8.8030154654319688</v>
      </c>
      <c r="C37" s="19" t="s">
        <v>1</v>
      </c>
      <c r="D37" s="8">
        <f t="shared" ref="D37:D39" si="0">($B$6*D36)/($B$6+B37)</f>
        <v>3.5355339059327373</v>
      </c>
    </row>
    <row r="38" spans="1:4" ht="15" thickBot="1" x14ac:dyDescent="0.35">
      <c r="A38" s="16" t="s">
        <v>15</v>
      </c>
      <c r="B38" s="17">
        <f>($D$35^(1/4)-1)*$B$6</f>
        <v>8.8030154654319688</v>
      </c>
      <c r="C38" s="19" t="s">
        <v>1</v>
      </c>
      <c r="D38" s="8">
        <f t="shared" si="0"/>
        <v>1.8803015465431965</v>
      </c>
    </row>
    <row r="39" spans="1:4" ht="15" thickBot="1" x14ac:dyDescent="0.35">
      <c r="A39" s="16" t="s">
        <v>16</v>
      </c>
      <c r="B39" s="17">
        <f>($D$35^(1/4)-1)*$B$6</f>
        <v>8.8030154654319688</v>
      </c>
      <c r="C39" s="19" t="s">
        <v>1</v>
      </c>
      <c r="D39" s="14">
        <f t="shared" si="0"/>
        <v>0.99999999999999978</v>
      </c>
    </row>
    <row r="40" spans="1:4" ht="15.6" thickTop="1" thickBot="1" x14ac:dyDescent="0.35">
      <c r="A40" s="18" t="s">
        <v>9</v>
      </c>
      <c r="B40" s="32">
        <f>IF(B35+B36+B37+B38+B39&gt;B4,"Impossible : Volume d'eau claire insuffisant",B35+B36+B37+B38+B39)</f>
        <v>245.21206186172788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:B1"/>
    <mergeCell ref="A10:B10"/>
  </mergeCells>
  <conditionalFormatting sqref="A10:B11">
    <cfRule type="containsText" dxfId="28" priority="2" operator="containsText" text="Erreur">
      <formula>NOT(ISERROR(SEARCH("Erreur",A10)))</formula>
    </cfRule>
  </conditionalFormatting>
  <conditionalFormatting sqref="B1:B1048576">
    <cfRule type="containsText" dxfId="27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96411ADC-385E-4368-AD23-6C54777EAC7A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1"/>
  <sheetViews>
    <sheetView topLeftCell="A16" workbookViewId="0">
      <selection activeCell="D2" sqref="D2"/>
    </sheetView>
  </sheetViews>
  <sheetFormatPr baseColWidth="10" defaultRowHeight="14.4" x14ac:dyDescent="0.3"/>
  <cols>
    <col min="1" max="1" width="58.109375" customWidth="1"/>
    <col min="2" max="2" width="42" customWidth="1"/>
    <col min="3" max="3" width="11.44140625" style="19"/>
    <col min="4" max="4" width="47" customWidth="1"/>
  </cols>
  <sheetData>
    <row r="1" spans="1:4" x14ac:dyDescent="0.3">
      <c r="A1" s="91" t="s">
        <v>55</v>
      </c>
      <c r="B1" s="91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32" t="str">
        <f>IF(B13&gt;B4,"Impossible : Volume d'eau claire insuffisant",B13)</f>
        <v>Impossible : Volume d'eau claire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17">
        <f>(8*$B$5)</f>
        <v>240</v>
      </c>
      <c r="C17" s="19" t="s">
        <v>1</v>
      </c>
      <c r="D17" s="8">
        <f>((B7*B5)/(B5+B17))</f>
        <v>11.111111111111111</v>
      </c>
    </row>
    <row r="18" spans="1:4" ht="15" thickBot="1" x14ac:dyDescent="0.35">
      <c r="A18" s="16" t="s">
        <v>13</v>
      </c>
      <c r="B18" s="17">
        <f>(D17-1)*B6</f>
        <v>101.11111111111111</v>
      </c>
      <c r="C18" s="19" t="s">
        <v>1</v>
      </c>
      <c r="D18" s="12">
        <f>(D17/(B18+B6))*B6</f>
        <v>0.99999999999999989</v>
      </c>
    </row>
    <row r="19" spans="1:4" ht="15.6" thickTop="1" thickBot="1" x14ac:dyDescent="0.35">
      <c r="A19" s="18" t="s">
        <v>9</v>
      </c>
      <c r="B19" s="32">
        <f>IF(B17+B18&gt;B4,"Impossible : Volume d'eau claire insuffisant",B17+B18)</f>
        <v>341.11111111111109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17">
        <f>(8*$B$5)</f>
        <v>240</v>
      </c>
      <c r="C22" s="19" t="s">
        <v>1</v>
      </c>
      <c r="D22" s="8">
        <f>(B5*B7)/(B5+B22)</f>
        <v>11.111111111111111</v>
      </c>
    </row>
    <row r="23" spans="1:4" ht="15" thickBot="1" x14ac:dyDescent="0.35">
      <c r="A23" s="16" t="s">
        <v>13</v>
      </c>
      <c r="B23" s="17">
        <f>($D$22^(1/2)-1)*$B$6</f>
        <v>23.333333333333336</v>
      </c>
      <c r="C23" s="19" t="s">
        <v>1</v>
      </c>
      <c r="D23" s="8">
        <f>((D22*B6)/(B6+B23))</f>
        <v>3.333333333333333</v>
      </c>
    </row>
    <row r="24" spans="1:4" ht="15" thickBot="1" x14ac:dyDescent="0.35">
      <c r="A24" s="16" t="s">
        <v>14</v>
      </c>
      <c r="B24" s="17">
        <f>($D$22^(1/2)-1)*$B$6</f>
        <v>23.333333333333336</v>
      </c>
      <c r="C24" s="19" t="s">
        <v>1</v>
      </c>
      <c r="D24" s="14">
        <f>((D23*B6)/(B6+B24))</f>
        <v>0.99999999999999978</v>
      </c>
    </row>
    <row r="25" spans="1:4" ht="15.6" thickTop="1" thickBot="1" x14ac:dyDescent="0.35">
      <c r="A25" s="18" t="s">
        <v>9</v>
      </c>
      <c r="B25" s="32">
        <f>IF(B22+B23+B24&gt;B4,"Impossible : Volume d'eau claire insuffisant",B22+B23+B24)</f>
        <v>286.66666666666663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17">
        <f>(8*$B$5)</f>
        <v>240</v>
      </c>
      <c r="C28" s="19" t="s">
        <v>1</v>
      </c>
      <c r="D28" s="8">
        <f>($B$5*B7)/($B$5+B28)</f>
        <v>11.111111111111111</v>
      </c>
    </row>
    <row r="29" spans="1:4" x14ac:dyDescent="0.3">
      <c r="A29" s="16" t="s">
        <v>13</v>
      </c>
      <c r="B29" s="17">
        <f>($D$28^(1/3)-1)*$B$6</f>
        <v>12.31443166940565</v>
      </c>
      <c r="C29" s="19" t="s">
        <v>1</v>
      </c>
      <c r="D29" s="8">
        <f>($B$6*D28)/($B$6+B29)</f>
        <v>4.9793386072857393</v>
      </c>
    </row>
    <row r="30" spans="1:4" ht="15" thickBot="1" x14ac:dyDescent="0.35">
      <c r="A30" s="16" t="s">
        <v>14</v>
      </c>
      <c r="B30" s="17">
        <f>($D$28^(1/3)-1)*$B$6</f>
        <v>12.31443166940565</v>
      </c>
      <c r="C30" s="19" t="s">
        <v>1</v>
      </c>
      <c r="D30" s="8">
        <f>($B$6*D29)/($B$6+B30)</f>
        <v>2.2314431669405654</v>
      </c>
    </row>
    <row r="31" spans="1:4" ht="15" thickBot="1" x14ac:dyDescent="0.35">
      <c r="A31" s="16" t="s">
        <v>15</v>
      </c>
      <c r="B31" s="17">
        <f>($D$28^(1/3)-1)*$B$6</f>
        <v>12.31443166940565</v>
      </c>
      <c r="C31" s="19" t="s">
        <v>1</v>
      </c>
      <c r="D31" s="14">
        <f>(D30*$B$6)/($B$6+B31)</f>
        <v>1.0000000000000002</v>
      </c>
    </row>
    <row r="32" spans="1:4" ht="15.6" thickTop="1" thickBot="1" x14ac:dyDescent="0.35">
      <c r="A32" s="18" t="s">
        <v>9</v>
      </c>
      <c r="B32" s="32">
        <f>IF(B28+B29+B30+B31&gt;B4,"Impossible : Volume d'eau claire insuffisant",B28+B29+B30+B31)</f>
        <v>276.94329500821698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17">
        <f>(8*$B$5)</f>
        <v>240</v>
      </c>
      <c r="C35" s="19" t="s">
        <v>1</v>
      </c>
      <c r="D35" s="8">
        <f>($B$5*B7)/($B$5+B35)</f>
        <v>11.111111111111111</v>
      </c>
    </row>
    <row r="36" spans="1:4" x14ac:dyDescent="0.3">
      <c r="A36" s="16" t="s">
        <v>13</v>
      </c>
      <c r="B36" s="17">
        <f>($D$35^(1/4)-1)*$B$6</f>
        <v>8.2574185835055367</v>
      </c>
      <c r="C36" s="19" t="s">
        <v>1</v>
      </c>
      <c r="D36" s="8">
        <f>($B$6*D35)/($B$6+B36)</f>
        <v>6.0858061945018465</v>
      </c>
    </row>
    <row r="37" spans="1:4" x14ac:dyDescent="0.3">
      <c r="A37" s="16" t="s">
        <v>14</v>
      </c>
      <c r="B37" s="17">
        <f>($D$35^(1/4)-1)*$B$6</f>
        <v>8.2574185835055367</v>
      </c>
      <c r="C37" s="19" t="s">
        <v>1</v>
      </c>
      <c r="D37" s="8">
        <f t="shared" ref="D37:D39" si="0">($B$6*D36)/($B$6+B37)</f>
        <v>3.3333333333333339</v>
      </c>
    </row>
    <row r="38" spans="1:4" ht="15" thickBot="1" x14ac:dyDescent="0.35">
      <c r="A38" s="16" t="s">
        <v>15</v>
      </c>
      <c r="B38" s="17">
        <f>($D$35^(1/4)-1)*$B$6</f>
        <v>8.2574185835055367</v>
      </c>
      <c r="C38" s="19" t="s">
        <v>1</v>
      </c>
      <c r="D38" s="8">
        <f t="shared" si="0"/>
        <v>1.8257418583505542</v>
      </c>
    </row>
    <row r="39" spans="1:4" ht="15" thickBot="1" x14ac:dyDescent="0.35">
      <c r="A39" s="16" t="s">
        <v>16</v>
      </c>
      <c r="B39" s="17">
        <f>($D$35^(1/4)-1)*$B$6</f>
        <v>8.2574185835055367</v>
      </c>
      <c r="C39" s="19" t="s">
        <v>1</v>
      </c>
      <c r="D39" s="14">
        <f t="shared" si="0"/>
        <v>1.0000000000000004</v>
      </c>
    </row>
    <row r="40" spans="1:4" ht="15.6" thickTop="1" thickBot="1" x14ac:dyDescent="0.35">
      <c r="A40" s="18" t="s">
        <v>9</v>
      </c>
      <c r="B40" s="32">
        <f>IF(B35+B36+B37+B38+B39&gt;B4,"Impossible : Volume d'eau claire insuffisant",B35+B36+B37+B38+B39)</f>
        <v>273.0296743340221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:B1"/>
    <mergeCell ref="A10:B10"/>
  </mergeCells>
  <conditionalFormatting sqref="A10:B10">
    <cfRule type="containsText" dxfId="25" priority="2" operator="containsText" text="Erreur">
      <formula>NOT(ISERROR(SEARCH("Erreur",A10)))</formula>
    </cfRule>
  </conditionalFormatting>
  <conditionalFormatting sqref="B1:B1048576">
    <cfRule type="containsText" dxfId="24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AF3D1C9D-7BA0-4892-B4A3-FBC2CE7C1278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41"/>
  <sheetViews>
    <sheetView zoomScaleNormal="100" workbookViewId="0">
      <selection activeCell="D2" sqref="D2"/>
    </sheetView>
  </sheetViews>
  <sheetFormatPr baseColWidth="10" defaultRowHeight="14.4" x14ac:dyDescent="0.3"/>
  <cols>
    <col min="1" max="1" width="58" customWidth="1"/>
    <col min="2" max="2" width="42" customWidth="1"/>
    <col min="3" max="3" width="11.44140625" style="19"/>
    <col min="4" max="4" width="47.44140625" customWidth="1"/>
  </cols>
  <sheetData>
    <row r="1" spans="1:4" x14ac:dyDescent="0.3">
      <c r="A1" s="91" t="s">
        <v>55</v>
      </c>
      <c r="B1" s="91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26" t="str">
        <f>IF((B5*99)&gt;B4,"Impossible : Volume d'eau claire insuffisant",B5*99)</f>
        <v>Impossible : Volume d'eau claire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27">
        <f>9*$B$5</f>
        <v>270</v>
      </c>
      <c r="C17" s="19" t="s">
        <v>1</v>
      </c>
      <c r="D17" s="8">
        <f>((B7*B5)/(B5+B17))</f>
        <v>10</v>
      </c>
    </row>
    <row r="18" spans="1:4" ht="15" thickBot="1" x14ac:dyDescent="0.35">
      <c r="A18" s="16" t="s">
        <v>13</v>
      </c>
      <c r="B18" s="17">
        <f>(D17-1)*B6</f>
        <v>90</v>
      </c>
      <c r="C18" s="19" t="s">
        <v>1</v>
      </c>
      <c r="D18" s="12">
        <f>(D17/(B18+B6))*B6</f>
        <v>1</v>
      </c>
    </row>
    <row r="19" spans="1:4" ht="15.6" thickTop="1" thickBot="1" x14ac:dyDescent="0.35">
      <c r="A19" s="18" t="s">
        <v>9</v>
      </c>
      <c r="B19" s="32">
        <f>IF(B17+B18&gt;$B$4,"Impossible : Volume d'eau claire insuffisant",B17+B18)</f>
        <v>360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27">
        <f>9*$B$5</f>
        <v>270</v>
      </c>
      <c r="C22" s="19" t="s">
        <v>1</v>
      </c>
      <c r="D22" s="8">
        <f>(B5*B7)/(B5+B22)</f>
        <v>10</v>
      </c>
    </row>
    <row r="23" spans="1:4" ht="15" thickBot="1" x14ac:dyDescent="0.35">
      <c r="A23" s="16" t="s">
        <v>13</v>
      </c>
      <c r="B23" s="17">
        <f>($D$22^(1/2)-1)*$B$6</f>
        <v>21.622776601683796</v>
      </c>
      <c r="C23" s="19" t="s">
        <v>1</v>
      </c>
      <c r="D23" s="8">
        <f>((D22*B6)/(B6+B23))</f>
        <v>3.1622776601683791</v>
      </c>
    </row>
    <row r="24" spans="1:4" ht="15" thickBot="1" x14ac:dyDescent="0.35">
      <c r="A24" s="16" t="s">
        <v>14</v>
      </c>
      <c r="B24" s="17">
        <f>($D$22^(1/2)-1)*$B$6</f>
        <v>21.622776601683796</v>
      </c>
      <c r="C24" s="19" t="s">
        <v>1</v>
      </c>
      <c r="D24" s="14">
        <f>((D23*B6)/(B6+B24))</f>
        <v>0.99999999999999978</v>
      </c>
    </row>
    <row r="25" spans="1:4" ht="15.6" thickTop="1" thickBot="1" x14ac:dyDescent="0.35">
      <c r="A25" s="18" t="s">
        <v>9</v>
      </c>
      <c r="B25" s="32">
        <f>IF(B22+B23+B24&gt;$B$4,"Impossible : Volume d'eau claire insuffisant",B22+B23+B24)</f>
        <v>313.24555320336754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27">
        <f>9*$B$5</f>
        <v>270</v>
      </c>
      <c r="C28" s="19" t="s">
        <v>1</v>
      </c>
      <c r="D28">
        <f>($B$5*B7)/($B$5+B28)</f>
        <v>10</v>
      </c>
    </row>
    <row r="29" spans="1:4" x14ac:dyDescent="0.3">
      <c r="A29" s="16" t="s">
        <v>13</v>
      </c>
      <c r="B29" s="17">
        <f>($D$28^(1/3)-1)*$B$6</f>
        <v>11.544346900318839</v>
      </c>
      <c r="C29" s="19" t="s">
        <v>1</v>
      </c>
      <c r="D29" s="8">
        <f>($B$6*D28)/($B$6+B29)</f>
        <v>4.6415888336127784</v>
      </c>
    </row>
    <row r="30" spans="1:4" ht="15" thickBot="1" x14ac:dyDescent="0.35">
      <c r="A30" s="16" t="s">
        <v>14</v>
      </c>
      <c r="B30" s="17">
        <f>($D$28^(1/3)-1)*$B$6</f>
        <v>11.544346900318839</v>
      </c>
      <c r="C30" s="19" t="s">
        <v>1</v>
      </c>
      <c r="D30" s="8">
        <f>($B$6*D29)/($B$6+B30)</f>
        <v>2.1544346900318834</v>
      </c>
    </row>
    <row r="31" spans="1:4" ht="15" thickBot="1" x14ac:dyDescent="0.35">
      <c r="A31" s="16" t="s">
        <v>15</v>
      </c>
      <c r="B31" s="17">
        <f>($D$28^(1/3)-1)*$B$6</f>
        <v>11.544346900318839</v>
      </c>
      <c r="C31" s="19" t="s">
        <v>1</v>
      </c>
      <c r="D31" s="14">
        <f>(D30*$B$6)/($B$6+B31)</f>
        <v>0.99999999999999989</v>
      </c>
    </row>
    <row r="32" spans="1:4" ht="15.6" thickTop="1" thickBot="1" x14ac:dyDescent="0.35">
      <c r="A32" s="18" t="s">
        <v>9</v>
      </c>
      <c r="B32" s="32">
        <f>IF(B28+B29+B30+B31&gt;$B$4,"Impossible : Volume d'eau claire insuffisant",B28+B29+B30+B31)</f>
        <v>304.63304070095649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27">
        <f>9*$B$5</f>
        <v>270</v>
      </c>
      <c r="C35" s="19" t="s">
        <v>1</v>
      </c>
      <c r="D35">
        <f>($B$5*B7)/($B$5+B35)</f>
        <v>10</v>
      </c>
    </row>
    <row r="36" spans="1:4" x14ac:dyDescent="0.3">
      <c r="A36" s="16" t="s">
        <v>13</v>
      </c>
      <c r="B36" s="17">
        <f>($D$35^(1/4)-1)*$B$6</f>
        <v>7.7827941003892303</v>
      </c>
      <c r="C36" s="19" t="s">
        <v>1</v>
      </c>
      <c r="D36" s="8">
        <f>($B$6*D35)/($B$6+B36)</f>
        <v>5.6234132519034894</v>
      </c>
    </row>
    <row r="37" spans="1:4" x14ac:dyDescent="0.3">
      <c r="A37" s="16" t="s">
        <v>14</v>
      </c>
      <c r="B37" s="17">
        <f>($D$35^(1/4)-1)*$B$6</f>
        <v>7.7827941003892303</v>
      </c>
      <c r="C37" s="19" t="s">
        <v>1</v>
      </c>
      <c r="D37" s="8">
        <f t="shared" ref="D37:D39" si="0">($B$6*D36)/($B$6+B37)</f>
        <v>3.1622776601683777</v>
      </c>
    </row>
    <row r="38" spans="1:4" ht="15" thickBot="1" x14ac:dyDescent="0.35">
      <c r="A38" s="16" t="s">
        <v>15</v>
      </c>
      <c r="B38" s="17">
        <f>($D$35^(1/4)-1)*$B$6</f>
        <v>7.7827941003892303</v>
      </c>
      <c r="C38" s="19" t="s">
        <v>1</v>
      </c>
      <c r="D38" s="8">
        <f t="shared" si="0"/>
        <v>1.7782794100389216</v>
      </c>
    </row>
    <row r="39" spans="1:4" ht="15" thickBot="1" x14ac:dyDescent="0.35">
      <c r="A39" s="16" t="s">
        <v>16</v>
      </c>
      <c r="B39" s="17">
        <f>($D$35^(1/4)-1)*$B$6</f>
        <v>7.7827941003892303</v>
      </c>
      <c r="C39" s="19" t="s">
        <v>1</v>
      </c>
      <c r="D39" s="14">
        <f t="shared" si="0"/>
        <v>0.99999999999999922</v>
      </c>
    </row>
    <row r="40" spans="1:4" ht="15.6" thickTop="1" thickBot="1" x14ac:dyDescent="0.35">
      <c r="A40" s="18" t="s">
        <v>9</v>
      </c>
      <c r="B40" s="32">
        <f>IF(B35+B36+B37+B38+B39&gt;$B$4,"Impossible : Volume d'eau claire insuffisant",B35+B36+B37+B38+B39)</f>
        <v>301.13117640155701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0:B10"/>
    <mergeCell ref="A1:B1"/>
  </mergeCells>
  <conditionalFormatting sqref="A10:B10">
    <cfRule type="containsText" dxfId="22" priority="11" operator="containsText" text="Erreur">
      <formula>NOT(ISERROR(SEARCH("Erreur",A10)))</formula>
    </cfRule>
    <cfRule type="containsText" dxfId="21" priority="12" operator="containsText" text="Erreur">
      <formula>NOT(ISERROR(SEARCH("Erreur",A10)))</formula>
    </cfRule>
  </conditionalFormatting>
  <conditionalFormatting sqref="B14">
    <cfRule type="containsText" dxfId="20" priority="10" operator="containsText" text="Impossible">
      <formula>NOT(ISERROR(SEARCH("Impossible",B14)))</formula>
    </cfRule>
  </conditionalFormatting>
  <conditionalFormatting sqref="B17">
    <cfRule type="containsText" dxfId="19" priority="9" operator="containsText" text="Impossible">
      <formula>NOT(ISERROR(SEARCH("Impossible",B17)))</formula>
    </cfRule>
  </conditionalFormatting>
  <conditionalFormatting sqref="B19">
    <cfRule type="containsText" dxfId="18" priority="7" operator="containsText" text="Impossible">
      <formula>NOT(ISERROR(SEARCH("Impossible",B19)))</formula>
    </cfRule>
  </conditionalFormatting>
  <conditionalFormatting sqref="B25">
    <cfRule type="containsText" dxfId="17" priority="6" operator="containsText" text="Impossible">
      <formula>NOT(ISERROR(SEARCH("Impossible",B25)))</formula>
    </cfRule>
  </conditionalFormatting>
  <conditionalFormatting sqref="B22">
    <cfRule type="containsText" dxfId="16" priority="4" operator="containsText" text="Impossible">
      <formula>NOT(ISERROR(SEARCH("Impossible",B22)))</formula>
    </cfRule>
  </conditionalFormatting>
  <conditionalFormatting sqref="B28">
    <cfRule type="containsText" dxfId="15" priority="3" operator="containsText" text="Impossible">
      <formula>NOT(ISERROR(SEARCH("Impossible",B28)))</formula>
    </cfRule>
  </conditionalFormatting>
  <conditionalFormatting sqref="B35">
    <cfRule type="containsText" dxfId="14" priority="2" operator="containsText" text="Impossible">
      <formula>NOT(ISERROR(SEARCH("Impossible",B35)))</formula>
    </cfRule>
  </conditionalFormatting>
  <conditionalFormatting sqref="B32 B40">
    <cfRule type="containsText" dxfId="13" priority="1" operator="containsText" text="Impossible">
      <formula>NOT(ISERROR(SEARCH("Impossible",B32)))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F6F01E5E-7843-45C6-8D8C-589415FDB75E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1"/>
  <sheetViews>
    <sheetView topLeftCell="A7" workbookViewId="0">
      <selection activeCell="D2" sqref="D2"/>
    </sheetView>
  </sheetViews>
  <sheetFormatPr baseColWidth="10" defaultRowHeight="14.4" x14ac:dyDescent="0.3"/>
  <cols>
    <col min="1" max="1" width="58" customWidth="1"/>
    <col min="2" max="2" width="42" customWidth="1"/>
    <col min="3" max="3" width="11.44140625" style="19"/>
    <col min="4" max="4" width="47.44140625" customWidth="1"/>
  </cols>
  <sheetData>
    <row r="1" spans="1:4" x14ac:dyDescent="0.3">
      <c r="A1" s="91" t="s">
        <v>55</v>
      </c>
      <c r="B1" s="91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26" t="str">
        <f>IF((B5*99)&gt;B4,"Impossible : Volume d'eau claire insuffisant",B5*99)</f>
        <v>Impossible : Volume d'eau claire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27">
        <f>14*$B$5</f>
        <v>420</v>
      </c>
      <c r="C17" s="19" t="s">
        <v>1</v>
      </c>
      <c r="D17" s="8">
        <f>((B7*B5)/(B5+B17))</f>
        <v>6.666666666666667</v>
      </c>
    </row>
    <row r="18" spans="1:4" ht="15" thickBot="1" x14ac:dyDescent="0.35">
      <c r="A18" s="16" t="s">
        <v>13</v>
      </c>
      <c r="B18" s="17">
        <f>(D17-1)*B6</f>
        <v>56.666666666666671</v>
      </c>
      <c r="C18" s="19" t="s">
        <v>1</v>
      </c>
      <c r="D18" s="12">
        <f>(D17/(B18+B6))*B6</f>
        <v>0.99999999999999989</v>
      </c>
    </row>
    <row r="19" spans="1:4" ht="15.6" thickTop="1" thickBot="1" x14ac:dyDescent="0.35">
      <c r="A19" s="18" t="s">
        <v>9</v>
      </c>
      <c r="B19" s="32">
        <f>IF(B17+B18&gt;$B$4,"Impossible : Volume d'eau claire insuffisant",B17+B18)</f>
        <v>476.66666666666669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27">
        <f>14*$B$5</f>
        <v>420</v>
      </c>
      <c r="C22" s="19" t="s">
        <v>1</v>
      </c>
      <c r="D22" s="8">
        <f>(B5*B7)/(B5+B22)</f>
        <v>6.666666666666667</v>
      </c>
    </row>
    <row r="23" spans="1:4" ht="15" thickBot="1" x14ac:dyDescent="0.35">
      <c r="A23" s="16" t="s">
        <v>13</v>
      </c>
      <c r="B23" s="17">
        <f>($D$22^(1/2)-1)*$B$6</f>
        <v>15.819888974716111</v>
      </c>
      <c r="C23" s="19" t="s">
        <v>1</v>
      </c>
      <c r="D23" s="8">
        <f>((D22*B6)/(B6+B23))</f>
        <v>2.5819888974716116</v>
      </c>
    </row>
    <row r="24" spans="1:4" ht="15" thickBot="1" x14ac:dyDescent="0.35">
      <c r="A24" s="16" t="s">
        <v>14</v>
      </c>
      <c r="B24" s="17">
        <f>($D$22^(1/2)-1)*$B$6</f>
        <v>15.819888974716111</v>
      </c>
      <c r="C24" s="19" t="s">
        <v>1</v>
      </c>
      <c r="D24" s="14">
        <f>((D23*B6)/(B6+B24))</f>
        <v>1.0000000000000002</v>
      </c>
    </row>
    <row r="25" spans="1:4" ht="15.6" thickTop="1" thickBot="1" x14ac:dyDescent="0.35">
      <c r="A25" s="18" t="s">
        <v>9</v>
      </c>
      <c r="B25" s="32">
        <f>IF(B22+B23+B24&gt;$B$4,"Impossible : Volume d'eau claire insuffisant",B22+B23+B24)</f>
        <v>451.63977794943219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27">
        <f>14*$B$5</f>
        <v>420</v>
      </c>
      <c r="C28" s="19" t="s">
        <v>1</v>
      </c>
      <c r="D28" s="8">
        <f>($B$5*B7)/($B$5+B28)</f>
        <v>6.666666666666667</v>
      </c>
    </row>
    <row r="29" spans="1:4" x14ac:dyDescent="0.3">
      <c r="A29" s="16" t="s">
        <v>13</v>
      </c>
      <c r="B29" s="17">
        <f>($D$28^(1/3)-1)*$B$6</f>
        <v>8.8207205776205697</v>
      </c>
      <c r="C29" s="19" t="s">
        <v>1</v>
      </c>
      <c r="D29" s="8">
        <f>($B$6*D28)/($B$6+B29)</f>
        <v>3.5421952306087037</v>
      </c>
    </row>
    <row r="30" spans="1:4" ht="15" thickBot="1" x14ac:dyDescent="0.35">
      <c r="A30" s="16" t="s">
        <v>14</v>
      </c>
      <c r="B30" s="17">
        <f>($D$28^(1/3)-1)*$B$6</f>
        <v>8.8207205776205697</v>
      </c>
      <c r="C30" s="19" t="s">
        <v>1</v>
      </c>
      <c r="D30" s="8">
        <f>($B$6*D29)/($B$6+B30)</f>
        <v>1.8820720577620571</v>
      </c>
    </row>
    <row r="31" spans="1:4" ht="15" thickBot="1" x14ac:dyDescent="0.35">
      <c r="A31" s="16" t="s">
        <v>15</v>
      </c>
      <c r="B31" s="17">
        <f>($D$28^(1/3)-1)*$B$6</f>
        <v>8.8207205776205697</v>
      </c>
      <c r="C31" s="19" t="s">
        <v>1</v>
      </c>
      <c r="D31" s="14">
        <f>(D30*$B$6)/($B$6+B31)</f>
        <v>1</v>
      </c>
    </row>
    <row r="32" spans="1:4" ht="15.6" thickTop="1" thickBot="1" x14ac:dyDescent="0.35">
      <c r="A32" s="18" t="s">
        <v>9</v>
      </c>
      <c r="B32" s="32">
        <f>IF(B28+B29+B30+B31&gt;$B$4,"Impossible : Volume d'eau claire insuffisant",B28+B29+B30+B31)</f>
        <v>446.46216173286177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27">
        <f>14*$B$5</f>
        <v>420</v>
      </c>
      <c r="C35" s="19" t="s">
        <v>1</v>
      </c>
      <c r="D35" s="8">
        <f>($B$5*B7)/($B$5+B35)</f>
        <v>6.666666666666667</v>
      </c>
    </row>
    <row r="36" spans="1:4" x14ac:dyDescent="0.3">
      <c r="A36" s="16" t="s">
        <v>13</v>
      </c>
      <c r="B36" s="17">
        <f>($D$35^(1/4)-1)*$B$6</f>
        <v>6.0685683788930351</v>
      </c>
      <c r="C36" s="19" t="s">
        <v>1</v>
      </c>
      <c r="D36" s="8">
        <f>($B$6*D35)/($B$6+B36)</f>
        <v>4.1488865152565229</v>
      </c>
    </row>
    <row r="37" spans="1:4" x14ac:dyDescent="0.3">
      <c r="A37" s="16" t="s">
        <v>14</v>
      </c>
      <c r="B37" s="17">
        <f>($D$35^(1/4)-1)*$B$6</f>
        <v>6.0685683788930351</v>
      </c>
      <c r="C37" s="19" t="s">
        <v>1</v>
      </c>
      <c r="D37" s="8">
        <f t="shared" ref="D37:D39" si="0">($B$6*D36)/($B$6+B37)</f>
        <v>2.5819888974716116</v>
      </c>
    </row>
    <row r="38" spans="1:4" ht="15" thickBot="1" x14ac:dyDescent="0.35">
      <c r="A38" s="16" t="s">
        <v>15</v>
      </c>
      <c r="B38" s="17">
        <f>($D$35^(1/4)-1)*$B$6</f>
        <v>6.0685683788930351</v>
      </c>
      <c r="C38" s="19" t="s">
        <v>1</v>
      </c>
      <c r="D38" s="8">
        <f t="shared" si="0"/>
        <v>1.6068568378893038</v>
      </c>
    </row>
    <row r="39" spans="1:4" ht="15" thickBot="1" x14ac:dyDescent="0.35">
      <c r="A39" s="16" t="s">
        <v>16</v>
      </c>
      <c r="B39" s="17">
        <f>($D$35^(1/4)-1)*$B$6</f>
        <v>6.0685683788930351</v>
      </c>
      <c r="C39" s="19" t="s">
        <v>1</v>
      </c>
      <c r="D39" s="14">
        <f t="shared" si="0"/>
        <v>1.0000000000000002</v>
      </c>
    </row>
    <row r="40" spans="1:4" ht="15.6" thickTop="1" thickBot="1" x14ac:dyDescent="0.35">
      <c r="A40" s="18" t="s">
        <v>9</v>
      </c>
      <c r="B40" s="32">
        <f>IF(B35+B36+B37+B38+B39&gt;$B$4,"Impossible : Volume d'eau claire insuffisant",B35+B36+B37+B38+B39)</f>
        <v>444.27427351557208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:B1"/>
    <mergeCell ref="A10:B10"/>
  </mergeCells>
  <conditionalFormatting sqref="A10:B10">
    <cfRule type="containsText" dxfId="11" priority="12" operator="containsText" text="Erreur">
      <formula>NOT(ISERROR(SEARCH("Erreur",A10)))</formula>
    </cfRule>
    <cfRule type="containsText" dxfId="10" priority="13" operator="containsText" text="Erreur">
      <formula>NOT(ISERROR(SEARCH("Erreur",A10)))</formula>
    </cfRule>
  </conditionalFormatting>
  <conditionalFormatting sqref="B14">
    <cfRule type="containsText" dxfId="9" priority="11" operator="containsText" text="Impossible">
      <formula>NOT(ISERROR(SEARCH("Impossible",B14)))</formula>
    </cfRule>
  </conditionalFormatting>
  <conditionalFormatting sqref="B17">
    <cfRule type="containsText" dxfId="8" priority="10" operator="containsText" text="Impossible">
      <formula>NOT(ISERROR(SEARCH("Impossible",B17)))</formula>
    </cfRule>
  </conditionalFormatting>
  <conditionalFormatting sqref="B19">
    <cfRule type="containsText" dxfId="7" priority="9" operator="containsText" text="Impossible">
      <formula>NOT(ISERROR(SEARCH("Impossible",B19)))</formula>
    </cfRule>
  </conditionalFormatting>
  <conditionalFormatting sqref="B25">
    <cfRule type="containsText" dxfId="6" priority="8" operator="containsText" text="Impossible">
      <formula>NOT(ISERROR(SEARCH("Impossible",B25)))</formula>
    </cfRule>
  </conditionalFormatting>
  <conditionalFormatting sqref="B32 B40">
    <cfRule type="containsText" dxfId="5" priority="4" operator="containsText" text="Impossible">
      <formula>NOT(ISERROR(SEARCH("Impossible",B32)))</formula>
    </cfRule>
  </conditionalFormatting>
  <conditionalFormatting sqref="B22">
    <cfRule type="containsText" dxfId="4" priority="3" operator="containsText" text="Impossible">
      <formula>NOT(ISERROR(SEARCH("Impossible",B22)))</formula>
    </cfRule>
  </conditionalFormatting>
  <conditionalFormatting sqref="B28">
    <cfRule type="containsText" dxfId="3" priority="2" operator="containsText" text="Impossible">
      <formula>NOT(ISERROR(SEARCH("Impossible",B28)))</formula>
    </cfRule>
  </conditionalFormatting>
  <conditionalFormatting sqref="B35">
    <cfRule type="containsText" dxfId="2" priority="1" operator="containsText" text="Impossible">
      <formula>NOT(ISERROR(SEARCH("Impossible",B35)))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F6EAD561-52D0-47C0-A74D-469D560BDDBB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5"/>
  <sheetViews>
    <sheetView workbookViewId="0">
      <selection activeCell="D2" sqref="D2"/>
    </sheetView>
  </sheetViews>
  <sheetFormatPr baseColWidth="10" defaultRowHeight="14.4" x14ac:dyDescent="0.3"/>
  <cols>
    <col min="1" max="1" width="34.109375" customWidth="1"/>
    <col min="2" max="2" width="42.109375" customWidth="1"/>
    <col min="4" max="4" width="22.88671875" bestFit="1" customWidth="1"/>
  </cols>
  <sheetData>
    <row r="1" spans="1:4" x14ac:dyDescent="0.3">
      <c r="A1" s="4" t="s">
        <v>43</v>
      </c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56</v>
      </c>
      <c r="B5" s="9">
        <f>'Optimalisation - Choix méthode'!B2</f>
        <v>30</v>
      </c>
    </row>
    <row r="6" spans="1:4" x14ac:dyDescent="0.3">
      <c r="A6" t="s">
        <v>57</v>
      </c>
      <c r="B6" s="9">
        <f>'Optimalisation - Choix méthode'!B3</f>
        <v>10</v>
      </c>
    </row>
    <row r="7" spans="1:4" ht="20.25" customHeight="1" x14ac:dyDescent="0.3">
      <c r="A7" s="7" t="s">
        <v>58</v>
      </c>
      <c r="B7" s="10">
        <v>100</v>
      </c>
    </row>
    <row r="10" spans="1:4" x14ac:dyDescent="0.3">
      <c r="A10" s="20" t="s">
        <v>19</v>
      </c>
      <c r="B10" s="11"/>
      <c r="D10" t="s">
        <v>59</v>
      </c>
    </row>
    <row r="11" spans="1:4" x14ac:dyDescent="0.3">
      <c r="A11" s="16" t="s">
        <v>12</v>
      </c>
      <c r="B11" s="28">
        <f>4*B5</f>
        <v>120</v>
      </c>
      <c r="C11" s="1" t="s">
        <v>1</v>
      </c>
      <c r="D11">
        <f>(B7*B5)/(B11+B5)</f>
        <v>20</v>
      </c>
    </row>
    <row r="12" spans="1:4" ht="15" thickBot="1" x14ac:dyDescent="0.35">
      <c r="A12" s="16" t="s">
        <v>13</v>
      </c>
      <c r="B12" s="17">
        <f>4*B6</f>
        <v>40</v>
      </c>
      <c r="C12" s="1" t="s">
        <v>1</v>
      </c>
      <c r="D12">
        <f>(D11*B6)/(B12+B6)</f>
        <v>4</v>
      </c>
    </row>
    <row r="13" spans="1:4" ht="15" thickBot="1" x14ac:dyDescent="0.35">
      <c r="A13" s="16" t="s">
        <v>14</v>
      </c>
      <c r="B13" s="17">
        <f>3*B6</f>
        <v>30</v>
      </c>
      <c r="C13" s="1" t="s">
        <v>1</v>
      </c>
      <c r="D13" s="14">
        <f>(D12*B6)/(B13+B6)</f>
        <v>1</v>
      </c>
    </row>
    <row r="14" spans="1:4" ht="15.6" thickTop="1" thickBot="1" x14ac:dyDescent="0.35">
      <c r="A14" s="18" t="s">
        <v>9</v>
      </c>
      <c r="B14" s="32">
        <f>IF(B11+B12+B13&gt;$B$4,"Impossible : Volume d'eau claire insuffisant",B11+B12+B13)</f>
        <v>190</v>
      </c>
      <c r="C14" s="1" t="s">
        <v>1</v>
      </c>
      <c r="D14" s="13"/>
    </row>
    <row r="15" spans="1:4" ht="15" thickTop="1" x14ac:dyDescent="0.3"/>
  </sheetData>
  <sheetProtection password="F76B" sheet="1" objects="1" scenarios="1"/>
  <conditionalFormatting sqref="B10:B14">
    <cfRule type="containsText" dxfId="0" priority="1" operator="containsText" text="Impossible">
      <formula>NOT(ISERROR(SEARCH("Impossible",B10)))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0"/>
  <sheetViews>
    <sheetView workbookViewId="0">
      <selection activeCell="D2" sqref="D2"/>
    </sheetView>
  </sheetViews>
  <sheetFormatPr baseColWidth="10" defaultColWidth="11.44140625" defaultRowHeight="14.4" x14ac:dyDescent="0.3"/>
  <cols>
    <col min="1" max="1" width="27.5546875" style="38" customWidth="1"/>
    <col min="2" max="2" width="11.33203125" style="38" customWidth="1"/>
    <col min="3" max="15" width="11.44140625" style="38"/>
    <col min="16" max="16" width="20.88671875" style="38" customWidth="1"/>
    <col min="17" max="16384" width="11.44140625" style="38"/>
  </cols>
  <sheetData>
    <row r="1" spans="1:18" x14ac:dyDescent="0.3">
      <c r="A1" s="38" t="s">
        <v>64</v>
      </c>
      <c r="B1" s="39">
        <f>'Interface utilisateur'!C5</f>
        <v>500</v>
      </c>
      <c r="C1" s="38" t="s">
        <v>65</v>
      </c>
    </row>
    <row r="2" spans="1:18" x14ac:dyDescent="0.3">
      <c r="A2" s="38" t="s">
        <v>66</v>
      </c>
      <c r="B2" s="39">
        <f>IF('Interface utilisateur'!C7&lt;'Interface utilisateur'!C6,'Interface utilisateur'!C6+'Interface utilisateur'!C7,'Interface utilisateur'!C7)</f>
        <v>30</v>
      </c>
      <c r="C2" s="38" t="s">
        <v>65</v>
      </c>
    </row>
    <row r="3" spans="1:18" ht="28.8" x14ac:dyDescent="0.3">
      <c r="A3" s="76" t="s">
        <v>67</v>
      </c>
      <c r="B3" s="39">
        <f>'Interface utilisateur'!C6</f>
        <v>10</v>
      </c>
      <c r="C3" s="38" t="s">
        <v>65</v>
      </c>
    </row>
    <row r="5" spans="1:18" x14ac:dyDescent="0.3">
      <c r="D5" s="40"/>
      <c r="E5" s="40"/>
      <c r="F5" s="40"/>
      <c r="G5" s="40"/>
      <c r="H5" s="40"/>
      <c r="I5" s="40"/>
      <c r="J5" s="40"/>
      <c r="K5" s="40"/>
    </row>
    <row r="6" spans="1:18" ht="15" thickBot="1" x14ac:dyDescent="0.35">
      <c r="B6" s="41" t="s">
        <v>44</v>
      </c>
      <c r="C6" s="42" t="s">
        <v>63</v>
      </c>
      <c r="D6" s="43" t="s">
        <v>28</v>
      </c>
      <c r="E6" s="43" t="s">
        <v>29</v>
      </c>
      <c r="F6" s="43" t="s">
        <v>30</v>
      </c>
      <c r="G6" s="43" t="s">
        <v>31</v>
      </c>
      <c r="H6" s="43" t="s">
        <v>32</v>
      </c>
      <c r="I6" s="43" t="s">
        <v>33</v>
      </c>
      <c r="J6" s="43" t="s">
        <v>34</v>
      </c>
      <c r="K6" s="43" t="s">
        <v>35</v>
      </c>
      <c r="L6" s="43" t="s">
        <v>36</v>
      </c>
      <c r="M6" s="43" t="s">
        <v>62</v>
      </c>
      <c r="N6" s="75" t="s">
        <v>68</v>
      </c>
    </row>
    <row r="7" spans="1:18" x14ac:dyDescent="0.3">
      <c r="A7" s="44" t="s">
        <v>45</v>
      </c>
      <c r="C7" s="45">
        <f>IF(ISNUMBER('Méthode 1'!B19),'Méthode 1'!B19,"…")</f>
        <v>360</v>
      </c>
      <c r="D7" s="45" t="str">
        <f>IF(ISNUMBER('1er rinçage - cc ini div. par 2'!B19),'1er rinçage - cc ini div. par 2'!B19,"…")</f>
        <v>…</v>
      </c>
      <c r="E7" s="45" t="str">
        <f>IF(ISNUMBER('par 3'!B19),'par 3'!B19,"…")</f>
        <v>…</v>
      </c>
      <c r="F7" s="45">
        <f>IF(ISNUMBER('par 4'!B19),'par 4'!B19,"…")</f>
        <v>330</v>
      </c>
      <c r="G7" s="45">
        <f>IF(ISNUMBER('par 5'!B19),'par 5'!B19,"…")</f>
        <v>310</v>
      </c>
      <c r="H7" s="45">
        <f>IF(ISNUMBER('par 6'!B19),'par 6'!B19,"…")</f>
        <v>306.66666666666669</v>
      </c>
      <c r="I7" s="45">
        <f>IF(ISNUMBER('par 7'!B19),'par 7'!B19,"…")</f>
        <v>312.85714285714289</v>
      </c>
      <c r="J7" s="45">
        <f>IF(ISNUMBER('par 8'!B19),'par 8'!B19,"…")</f>
        <v>325</v>
      </c>
      <c r="K7" s="45">
        <f>IF(ISNUMBER('par 9'!B19),'par 9'!B19,"…")</f>
        <v>341.11111111111109</v>
      </c>
      <c r="L7" s="45">
        <f>IF(ISNUMBER('par 10'!B19),'par 10'!B19,"...")</f>
        <v>360</v>
      </c>
      <c r="M7" s="45">
        <f>IF(ISNUMBER('par 15'!B19),'par 15'!B19,"…")</f>
        <v>476.66666666666669</v>
      </c>
      <c r="N7" s="40">
        <f>MIN(C7:M7)</f>
        <v>306.66666666666669</v>
      </c>
      <c r="O7" s="40"/>
    </row>
    <row r="8" spans="1:18" s="47" customFormat="1" ht="12" x14ac:dyDescent="0.25">
      <c r="A8" s="46" t="s">
        <v>37</v>
      </c>
      <c r="C8" s="48">
        <f>'Méthode 1'!B17</f>
        <v>270</v>
      </c>
      <c r="D8" s="48">
        <f>'1er rinçage - cc ini div. par 2'!B17</f>
        <v>30</v>
      </c>
      <c r="E8" s="48">
        <f>'par 3'!B17</f>
        <v>60</v>
      </c>
      <c r="F8" s="48">
        <f>'par 4'!B17</f>
        <v>90</v>
      </c>
      <c r="G8" s="48">
        <f>'par 5'!B17</f>
        <v>120</v>
      </c>
      <c r="H8" s="48">
        <f>'par 6'!B17</f>
        <v>150</v>
      </c>
      <c r="I8" s="48">
        <f>'par 7'!B17</f>
        <v>180</v>
      </c>
      <c r="J8" s="48">
        <f>'par 8'!B17</f>
        <v>210</v>
      </c>
      <c r="K8" s="48">
        <f>'par 9'!B17</f>
        <v>240</v>
      </c>
      <c r="L8" s="48">
        <f>'par 10'!B17</f>
        <v>270</v>
      </c>
      <c r="M8" s="48">
        <f>'par 15'!B17</f>
        <v>420</v>
      </c>
      <c r="N8" s="49"/>
      <c r="O8" s="49"/>
    </row>
    <row r="9" spans="1:18" s="47" customFormat="1" ht="12" x14ac:dyDescent="0.25">
      <c r="A9" s="46" t="s">
        <v>38</v>
      </c>
      <c r="C9" s="48">
        <f>'Méthode 1'!B18</f>
        <v>90</v>
      </c>
      <c r="D9" s="48">
        <f>'1er rinçage - cc ini div. par 2'!B18</f>
        <v>490</v>
      </c>
      <c r="E9" s="48">
        <f>'par 3'!B18</f>
        <v>323.33333333333337</v>
      </c>
      <c r="F9" s="48">
        <f>'par 4'!B18</f>
        <v>240</v>
      </c>
      <c r="G9" s="48">
        <f>'par 5'!B18</f>
        <v>190</v>
      </c>
      <c r="H9" s="48">
        <f>'par 6'!B18</f>
        <v>156.66666666666669</v>
      </c>
      <c r="I9" s="48">
        <f>'par 7'!B18</f>
        <v>132.85714285714286</v>
      </c>
      <c r="J9" s="48">
        <f>'par 8'!B18</f>
        <v>115</v>
      </c>
      <c r="K9" s="48">
        <f>'par 9'!B18</f>
        <v>101.11111111111111</v>
      </c>
      <c r="L9" s="48">
        <f>'par 10'!B18</f>
        <v>90</v>
      </c>
      <c r="M9" s="48">
        <f>'par 15'!B18</f>
        <v>56.666666666666671</v>
      </c>
      <c r="N9" s="49"/>
      <c r="O9" s="49"/>
    </row>
    <row r="10" spans="1:18" s="47" customFormat="1" ht="12" x14ac:dyDescent="0.25">
      <c r="A10" s="46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</row>
    <row r="11" spans="1:18" s="47" customFormat="1" ht="12" x14ac:dyDescent="0.25">
      <c r="A11" s="46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R11" s="50"/>
    </row>
    <row r="12" spans="1:18" x14ac:dyDescent="0.3">
      <c r="A12" s="44" t="s">
        <v>46</v>
      </c>
      <c r="B12" s="40">
        <f>IF(ISNUMBER('4 - 4 -3'!B14),'4 - 4 -3'!B14,"…")</f>
        <v>190</v>
      </c>
      <c r="C12" s="40">
        <f>IF(ISNUMBER('Méthode 1'!B26),'Méthode 1'!B26,"…")</f>
        <v>182.07944168063898</v>
      </c>
      <c r="D12" s="40">
        <f>IF(ISNUMBER('1er rinçage - cc ini div. par 2'!B25),'1er rinçage - cc ini div. par 2'!B25,"…")</f>
        <v>151.42135623730951</v>
      </c>
      <c r="E12" s="40">
        <f>IF(ISNUMBER('par 3'!B25),'par 3'!B25,"…")</f>
        <v>155.47005383792515</v>
      </c>
      <c r="F12" s="40">
        <f>IF(ISNUMBER('par 4'!B25),'par 4'!B25,"…")</f>
        <v>170</v>
      </c>
      <c r="G12" s="40">
        <f>IF(ISNUMBER('par 5'!B25),'par 5'!B25,"…")</f>
        <v>189.44271909999156</v>
      </c>
      <c r="H12" s="40">
        <f>IF(ISNUMBER('par 6'!B25),'par 6'!B25,"…")</f>
        <v>211.6496580927726</v>
      </c>
      <c r="I12" s="40">
        <f>IF(ISNUMBER('par 7'!B25),'par 7'!B25,"…")</f>
        <v>235.59289460184544</v>
      </c>
      <c r="J12" s="40">
        <f>IF(ISNUMBER('par 8'!B25),'par 8'!B25,"…")</f>
        <v>260.71067811865476</v>
      </c>
      <c r="K12" s="40">
        <f>IF(ISNUMBER('par 9'!B25),'par 9'!B25,"…")</f>
        <v>286.66666666666663</v>
      </c>
      <c r="L12" s="40">
        <f>IF(ISNUMBER('par 10'!B25),'par 10'!B25,"…")</f>
        <v>313.24555320336754</v>
      </c>
      <c r="M12" s="40">
        <f>IF(ISNUMBER('par 15'!B25),'par 15'!B25,"…")</f>
        <v>451.63977794943219</v>
      </c>
      <c r="N12" s="40">
        <f>MIN(B12:M12)</f>
        <v>151.42135623730951</v>
      </c>
      <c r="O12" s="40"/>
    </row>
    <row r="13" spans="1:18" x14ac:dyDescent="0.3">
      <c r="A13" s="46" t="s">
        <v>37</v>
      </c>
      <c r="B13" s="49">
        <f>'4 - 4 -3'!B11</f>
        <v>120</v>
      </c>
      <c r="C13" s="49">
        <f>'Méthode 1'!B23</f>
        <v>109.24766500838338</v>
      </c>
      <c r="D13" s="49">
        <f>'1er rinçage - cc ini div. par 2'!B22</f>
        <v>30</v>
      </c>
      <c r="E13" s="49">
        <f>'par 3'!B22</f>
        <v>60</v>
      </c>
      <c r="F13" s="49">
        <f>'par 4'!B22</f>
        <v>90</v>
      </c>
      <c r="G13" s="49">
        <f>'par 5'!B22</f>
        <v>120</v>
      </c>
      <c r="H13" s="49">
        <f>'par 6'!B22</f>
        <v>150</v>
      </c>
      <c r="I13" s="49">
        <f>'par 7'!B22</f>
        <v>180</v>
      </c>
      <c r="J13" s="49">
        <f>'par 8'!B22</f>
        <v>210</v>
      </c>
      <c r="K13" s="49">
        <f>'par 9'!B22</f>
        <v>240</v>
      </c>
      <c r="L13" s="49">
        <f>'par 10'!B22</f>
        <v>270</v>
      </c>
      <c r="M13" s="49">
        <f>'par 15'!B22</f>
        <v>420</v>
      </c>
      <c r="N13" s="40"/>
      <c r="O13" s="40"/>
    </row>
    <row r="14" spans="1:18" x14ac:dyDescent="0.3">
      <c r="A14" s="46" t="s">
        <v>38</v>
      </c>
      <c r="B14" s="49">
        <f>'4 - 4 -3'!B12</f>
        <v>40</v>
      </c>
      <c r="C14" s="49">
        <f>'Méthode 1'!B24</f>
        <v>36.415888336127793</v>
      </c>
      <c r="D14" s="49">
        <f>'1er rinçage - cc ini div. par 2'!B23</f>
        <v>60.710678118654755</v>
      </c>
      <c r="E14" s="49">
        <f>'par 3'!B23</f>
        <v>47.735026918962582</v>
      </c>
      <c r="F14" s="49">
        <f>'par 4'!B23</f>
        <v>40</v>
      </c>
      <c r="G14" s="49">
        <f>'par 5'!B23</f>
        <v>34.721359549995796</v>
      </c>
      <c r="H14" s="49">
        <f>'par 6'!B23</f>
        <v>30.824829046386306</v>
      </c>
      <c r="I14" s="49">
        <f>'par 7'!B23</f>
        <v>27.796447300922722</v>
      </c>
      <c r="J14" s="49">
        <f>'par 8'!B23</f>
        <v>25.355339059327378</v>
      </c>
      <c r="K14" s="49">
        <f>'par 9'!B23</f>
        <v>23.333333333333336</v>
      </c>
      <c r="L14" s="49">
        <f>'par 10'!B23</f>
        <v>21.622776601683796</v>
      </c>
      <c r="M14" s="49">
        <f>'par 15'!B23</f>
        <v>15.819888974716111</v>
      </c>
      <c r="N14" s="40"/>
      <c r="O14" s="40"/>
    </row>
    <row r="15" spans="1:18" x14ac:dyDescent="0.3">
      <c r="A15" s="46" t="s">
        <v>39</v>
      </c>
      <c r="B15" s="49">
        <f>'4 - 4 -3'!B13</f>
        <v>30</v>
      </c>
      <c r="C15" s="49">
        <f>'Méthode 1'!B25</f>
        <v>36.415888336127793</v>
      </c>
      <c r="D15" s="49">
        <f>'1er rinçage - cc ini div. par 2'!B24</f>
        <v>60.710678118654755</v>
      </c>
      <c r="E15" s="49">
        <f>'par 3'!B24</f>
        <v>47.735026918962582</v>
      </c>
      <c r="F15" s="49">
        <f>'par 4'!B24</f>
        <v>40</v>
      </c>
      <c r="G15" s="49">
        <f>'par 5'!B24</f>
        <v>34.721359549995796</v>
      </c>
      <c r="H15" s="49">
        <f>'par 6'!B24</f>
        <v>30.824829046386306</v>
      </c>
      <c r="I15" s="49">
        <f>'par 7'!B24</f>
        <v>27.796447300922722</v>
      </c>
      <c r="J15" s="49">
        <f>'par 8'!B24</f>
        <v>25.355339059327378</v>
      </c>
      <c r="K15" s="49">
        <f>'par 9'!B24</f>
        <v>23.333333333333336</v>
      </c>
      <c r="L15" s="49">
        <f>'par 10'!B24</f>
        <v>21.622776601683796</v>
      </c>
      <c r="M15" s="49">
        <f>'par 15'!B24</f>
        <v>15.819888974716111</v>
      </c>
      <c r="N15" s="40"/>
      <c r="O15" s="40"/>
    </row>
    <row r="16" spans="1:18" x14ac:dyDescent="0.3">
      <c r="A16" s="46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0"/>
      <c r="O16" s="40"/>
    </row>
    <row r="17" spans="1:15" x14ac:dyDescent="0.3">
      <c r="A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0"/>
      <c r="O17" s="40"/>
    </row>
    <row r="18" spans="1:15" x14ac:dyDescent="0.3">
      <c r="A18" s="44" t="s">
        <v>47</v>
      </c>
      <c r="C18" s="40">
        <f>IF(ISNUMBER('Méthode 1'!B34),'Méthode 1'!B34,"…")</f>
        <v>129.73665961010275</v>
      </c>
      <c r="D18" s="40">
        <f>IF(ISNUMBER('1er rinçage - cc ini div. par 2'!B32),'1er rinçage - cc ini div. par 2'!B32,"…")</f>
        <v>110.5209449592116</v>
      </c>
      <c r="E18" s="40">
        <f>IF(ISNUMBER('par 3'!B32),'par 3'!B32,"…")</f>
        <v>126.54893846056297</v>
      </c>
      <c r="F18" s="40">
        <f>IF(ISNUMBER('par 4'!B32),'par 4'!B32,"…")</f>
        <v>147.72053214638595</v>
      </c>
      <c r="G18" s="40">
        <f>IF(ISNUMBER('par 5'!B32),'par 5'!B32,"…")</f>
        <v>171.43252849784719</v>
      </c>
      <c r="H18" s="40">
        <f>IF(ISNUMBER('par 6'!B32),'par 6'!B32,"…")</f>
        <v>196.6309432393553</v>
      </c>
      <c r="I18" s="40">
        <f>IF(ISNUMBER('par 7'!B32),'par 7'!B32,"…")</f>
        <v>222.79282509607759</v>
      </c>
      <c r="J18" s="40">
        <f>IF(ISNUMBER('par 8'!B32),'par 8'!B32,"…")</f>
        <v>249.62383250419171</v>
      </c>
      <c r="K18" s="40">
        <f>IF(ISNUMBER('par 9'!B32),'par 9'!B32,"…")</f>
        <v>276.94329500821698</v>
      </c>
      <c r="L18" s="40">
        <f>IF(ISNUMBER('par 10'!B32),'par 10'!B32,"…")</f>
        <v>304.63304070095649</v>
      </c>
      <c r="M18" s="40">
        <f>IF(ISNUMBER('par 15'!B32),'par 15'!B32,"…")</f>
        <v>446.46216173286177</v>
      </c>
      <c r="N18" s="40">
        <f>MIN(C18:M18)</f>
        <v>110.5209449592116</v>
      </c>
      <c r="O18" s="40"/>
    </row>
    <row r="19" spans="1:15" x14ac:dyDescent="0.3">
      <c r="A19" s="46" t="s">
        <v>37</v>
      </c>
      <c r="C19" s="49">
        <f>'Méthode 1'!B30</f>
        <v>64.868329805051388</v>
      </c>
      <c r="D19" s="49">
        <f>'1er rinçage - cc ini div. par 2'!B28</f>
        <v>30</v>
      </c>
      <c r="E19" s="49">
        <f>'par 3'!B28</f>
        <v>60</v>
      </c>
      <c r="F19" s="49">
        <f>'par 4'!B28</f>
        <v>90</v>
      </c>
      <c r="G19" s="49">
        <f>'par 5'!B28</f>
        <v>120</v>
      </c>
      <c r="H19" s="49">
        <f>'par 6'!B28</f>
        <v>150</v>
      </c>
      <c r="I19" s="49">
        <f>'par 7'!B28</f>
        <v>180</v>
      </c>
      <c r="J19" s="49">
        <f>'par 8'!B28</f>
        <v>210</v>
      </c>
      <c r="K19" s="49">
        <f>'par 9'!B28</f>
        <v>240</v>
      </c>
      <c r="L19" s="49">
        <f>'par 10'!B28</f>
        <v>270</v>
      </c>
      <c r="M19" s="49">
        <f>'par 15'!B28</f>
        <v>420</v>
      </c>
      <c r="N19" s="40"/>
      <c r="O19" s="40"/>
    </row>
    <row r="20" spans="1:15" x14ac:dyDescent="0.3">
      <c r="A20" s="46" t="s">
        <v>38</v>
      </c>
      <c r="C20" s="49">
        <f>'Méthode 1'!B31</f>
        <v>21.622776601683789</v>
      </c>
      <c r="D20" s="49">
        <f>'1er rinçage - cc ini div. par 2'!B29</f>
        <v>26.840314986403865</v>
      </c>
      <c r="E20" s="49">
        <f>'par 3'!B29</f>
        <v>22.182979486854325</v>
      </c>
      <c r="F20" s="49">
        <f>'par 4'!B29</f>
        <v>19.240177382128657</v>
      </c>
      <c r="G20" s="49">
        <f>'par 5'!B29</f>
        <v>17.144176165949062</v>
      </c>
      <c r="H20" s="49">
        <f>'par 6'!B29</f>
        <v>15.54364774645177</v>
      </c>
      <c r="I20" s="49">
        <f>'par 7'!B29</f>
        <v>14.264275032025861</v>
      </c>
      <c r="J20" s="49">
        <f>'par 8'!B29</f>
        <v>13.207944168063896</v>
      </c>
      <c r="K20" s="49">
        <f>'par 9'!B29</f>
        <v>12.31443166940565</v>
      </c>
      <c r="L20" s="49">
        <f>'par 10'!B29</f>
        <v>11.544346900318839</v>
      </c>
      <c r="M20" s="49">
        <f>'par 15'!B29</f>
        <v>8.8207205776205697</v>
      </c>
      <c r="N20" s="40"/>
      <c r="O20" s="40"/>
    </row>
    <row r="21" spans="1:15" x14ac:dyDescent="0.3">
      <c r="A21" s="46" t="s">
        <v>39</v>
      </c>
      <c r="C21" s="49">
        <f>'Méthode 1'!B32</f>
        <v>21.622776601683789</v>
      </c>
      <c r="D21" s="49">
        <f>'1er rinçage - cc ini div. par 2'!B30</f>
        <v>26.840314986403865</v>
      </c>
      <c r="E21" s="49">
        <f>'par 3'!B30</f>
        <v>22.182979486854325</v>
      </c>
      <c r="F21" s="49">
        <f>'par 4'!B30</f>
        <v>19.240177382128657</v>
      </c>
      <c r="G21" s="49">
        <f>'par 5'!B30</f>
        <v>17.144176165949062</v>
      </c>
      <c r="H21" s="49">
        <f>'par 6'!B29</f>
        <v>15.54364774645177</v>
      </c>
      <c r="I21" s="49">
        <f>'par 7'!B30</f>
        <v>14.264275032025861</v>
      </c>
      <c r="J21" s="49">
        <f>'par 8'!B30</f>
        <v>13.207944168063896</v>
      </c>
      <c r="K21" s="49">
        <f>'par 9'!B30</f>
        <v>12.31443166940565</v>
      </c>
      <c r="L21" s="49">
        <f>'par 10'!B30</f>
        <v>11.544346900318839</v>
      </c>
      <c r="M21" s="49">
        <f>'par 15'!B30</f>
        <v>8.8207205776205697</v>
      </c>
      <c r="N21" s="40"/>
      <c r="O21" s="40"/>
    </row>
    <row r="22" spans="1:15" x14ac:dyDescent="0.3">
      <c r="A22" s="46" t="s">
        <v>40</v>
      </c>
      <c r="C22" s="49">
        <f>'Méthode 1'!B33</f>
        <v>21.622776601683789</v>
      </c>
      <c r="D22" s="49">
        <f>'1er rinçage - cc ini div. par 2'!B31</f>
        <v>26.840314986403865</v>
      </c>
      <c r="E22" s="49">
        <f>'par 3'!B31</f>
        <v>22.182979486854325</v>
      </c>
      <c r="F22" s="49">
        <f>'par 4'!B31</f>
        <v>19.240177382128657</v>
      </c>
      <c r="G22" s="49">
        <f>'par 5'!B31</f>
        <v>17.144176165949062</v>
      </c>
      <c r="H22" s="49">
        <f>'par 6'!B31</f>
        <v>15.54364774645177</v>
      </c>
      <c r="I22" s="49">
        <f>'par 7'!B31</f>
        <v>14.264275032025861</v>
      </c>
      <c r="J22" s="49">
        <f>'par 8'!B31</f>
        <v>13.207944168063896</v>
      </c>
      <c r="K22" s="49">
        <f>'par 9'!B31</f>
        <v>12.31443166940565</v>
      </c>
      <c r="L22" s="49">
        <f>'par 10'!B31</f>
        <v>11.544346900318839</v>
      </c>
      <c r="M22" s="49">
        <f>'par 15'!B31</f>
        <v>8.8207205776205697</v>
      </c>
      <c r="N22" s="40"/>
      <c r="O22" s="40"/>
    </row>
    <row r="23" spans="1:15" x14ac:dyDescent="0.3">
      <c r="A23" s="46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0"/>
      <c r="O23" s="40"/>
    </row>
    <row r="24" spans="1:15" x14ac:dyDescent="0.3">
      <c r="A24" s="46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0"/>
      <c r="O24" s="40"/>
    </row>
    <row r="25" spans="1:15" x14ac:dyDescent="0.3">
      <c r="A25" s="44" t="s">
        <v>48</v>
      </c>
      <c r="C25" s="40">
        <f>IF(ISNUMBER('Méthode 1'!B43),'Méthode 1'!B43,"…")</f>
        <v>105.83205020567064</v>
      </c>
      <c r="D25" s="40">
        <f>IF(ISNUMBER('1er rinçage - cc ini div. par 2'!B40),'1er rinçage - cc ini div. par 2'!B40,"…")</f>
        <v>96.36591793889977</v>
      </c>
      <c r="E25" s="40">
        <f>IF(ISNUMBER('par 3'!B40),'par 3'!B40,"…")</f>
        <v>116.11245656539018</v>
      </c>
      <c r="F25" s="40">
        <f>IF(ISNUMBER('par 4'!B40),'par 4'!B40,"…")</f>
        <v>139.44271909999156</v>
      </c>
      <c r="G25" s="40">
        <f>IF(ISNUMBER('par 5'!B40),'par 5'!B40,"…")</f>
        <v>164.5897010752451</v>
      </c>
      <c r="H25" s="40">
        <f>IF(ISNUMBER('par 6'!B40),'par 6'!B40,"…")</f>
        <v>190.82062018706495</v>
      </c>
      <c r="I25" s="40">
        <f>IF(ISNUMBER('par 7'!B40),'par 7'!B40,"…")</f>
        <v>217.76523367255857</v>
      </c>
      <c r="J25" s="40">
        <f>IF(ISNUMBER('par 8'!B40),'par 8'!B40,"…")</f>
        <v>245.21206186172788</v>
      </c>
      <c r="K25" s="40">
        <f>IF(ISNUMBER('par 9'!B40),'par 9'!B40,"…")</f>
        <v>273.0296743340221</v>
      </c>
      <c r="L25" s="51">
        <f>IF(ISNUMBER('par 10'!B40),'par 10'!B40,"…")</f>
        <v>301.13117640155701</v>
      </c>
      <c r="M25" s="51">
        <f>IF(ISNUMBER('par 15'!B40),'par 15'!B40,"…")</f>
        <v>444.27427351557208</v>
      </c>
      <c r="N25" s="40">
        <f>MIN(C25:M25)</f>
        <v>96.36591793889977</v>
      </c>
      <c r="O25" s="40"/>
    </row>
    <row r="26" spans="1:15" x14ac:dyDescent="0.3">
      <c r="A26" s="46" t="s">
        <v>37</v>
      </c>
      <c r="C26" s="49">
        <f>'Méthode 1'!B38</f>
        <v>45.356592945287417</v>
      </c>
      <c r="D26" s="49">
        <f>'1er rinçage - cc ini div. par 2'!B35</f>
        <v>30</v>
      </c>
      <c r="E26" s="49">
        <f>'par 3'!B35</f>
        <v>60</v>
      </c>
      <c r="F26" s="49">
        <f>'par 4'!B35</f>
        <v>90</v>
      </c>
      <c r="G26" s="49">
        <f>'par 5'!B35</f>
        <v>120</v>
      </c>
      <c r="H26" s="49">
        <f>'par 6'!B35</f>
        <v>150</v>
      </c>
      <c r="I26" s="49">
        <f>'par 7'!B35</f>
        <v>180</v>
      </c>
      <c r="J26" s="49">
        <f>'par 8'!B35</f>
        <v>210</v>
      </c>
      <c r="K26" s="49">
        <f>'par 9'!B35</f>
        <v>240</v>
      </c>
      <c r="L26" s="49">
        <f>'par 10'!B35</f>
        <v>270</v>
      </c>
      <c r="M26" s="49">
        <f>'par 15'!B35</f>
        <v>420</v>
      </c>
    </row>
    <row r="27" spans="1:15" x14ac:dyDescent="0.3">
      <c r="A27" s="46" t="s">
        <v>38</v>
      </c>
      <c r="C27" s="49">
        <f>'Méthode 1'!B39</f>
        <v>15.118864315095802</v>
      </c>
      <c r="D27" s="49">
        <f>'1er rinçage - cc ini div. par 2'!B36</f>
        <v>16.591479484724942</v>
      </c>
      <c r="E27" s="49">
        <f>'par 3'!B36</f>
        <v>14.028114141347544</v>
      </c>
      <c r="F27" s="49">
        <f>'par 4'!B36</f>
        <v>12.360679774997898</v>
      </c>
      <c r="G27" s="49">
        <f>'par 5'!B36</f>
        <v>11.147425268811283</v>
      </c>
      <c r="H27" s="49">
        <f>'par 6'!B36</f>
        <v>10.205155046766233</v>
      </c>
      <c r="I27" s="49">
        <f>'par 7'!B36</f>
        <v>9.4413084181396396</v>
      </c>
      <c r="J27" s="49">
        <f>'par 8'!B36</f>
        <v>8.8030154654319688</v>
      </c>
      <c r="K27" s="49">
        <f>'par 9'!B36</f>
        <v>8.2574185835055367</v>
      </c>
      <c r="L27" s="49">
        <f>'par 10'!B36</f>
        <v>7.7827941003892303</v>
      </c>
      <c r="M27" s="49">
        <f>'par 15'!B36</f>
        <v>6.0685683788930351</v>
      </c>
    </row>
    <row r="28" spans="1:15" x14ac:dyDescent="0.3">
      <c r="A28" s="46" t="s">
        <v>39</v>
      </c>
      <c r="C28" s="49">
        <f>'Méthode 1'!B40</f>
        <v>15.118864315095802</v>
      </c>
      <c r="D28" s="49">
        <f>'1er rinçage - cc ini div. par 2'!B37</f>
        <v>16.591479484724942</v>
      </c>
      <c r="E28" s="49">
        <f>'par 3'!B37</f>
        <v>14.028114141347544</v>
      </c>
      <c r="F28" s="49">
        <f>'par 4'!B37</f>
        <v>12.360679774997898</v>
      </c>
      <c r="G28" s="49">
        <f>'par 5'!B37</f>
        <v>11.147425268811283</v>
      </c>
      <c r="H28" s="49">
        <f>'par 6'!B37</f>
        <v>10.205155046766233</v>
      </c>
      <c r="I28" s="49">
        <f>'par 7'!B37</f>
        <v>9.4413084181396396</v>
      </c>
      <c r="J28" s="49">
        <f>'par 8'!B37</f>
        <v>8.8030154654319688</v>
      </c>
      <c r="K28" s="49">
        <f>'par 9'!B37</f>
        <v>8.2574185835055367</v>
      </c>
      <c r="L28" s="49">
        <f>'par 10'!B37</f>
        <v>7.7827941003892303</v>
      </c>
      <c r="M28" s="49">
        <f>'par 15'!B37</f>
        <v>6.0685683788930351</v>
      </c>
    </row>
    <row r="29" spans="1:15" x14ac:dyDescent="0.3">
      <c r="A29" s="46" t="s">
        <v>40</v>
      </c>
      <c r="C29" s="49">
        <f>'Méthode 1'!B41</f>
        <v>15.118864315095802</v>
      </c>
      <c r="D29" s="49">
        <f>'1er rinçage - cc ini div. par 2'!B38</f>
        <v>16.591479484724942</v>
      </c>
      <c r="E29" s="49">
        <f>'par 3'!B38</f>
        <v>14.028114141347544</v>
      </c>
      <c r="F29" s="49">
        <f>'par 4'!B38</f>
        <v>12.360679774997898</v>
      </c>
      <c r="G29" s="49">
        <f>'par 5'!B38</f>
        <v>11.147425268811283</v>
      </c>
      <c r="H29" s="49">
        <f>'par 6'!B38</f>
        <v>10.205155046766233</v>
      </c>
      <c r="I29" s="49">
        <f>'par 7'!B38</f>
        <v>9.4413084181396396</v>
      </c>
      <c r="J29" s="49">
        <f>'par 8'!B38</f>
        <v>8.8030154654319688</v>
      </c>
      <c r="K29" s="49">
        <f>'par 9'!B38</f>
        <v>8.2574185835055367</v>
      </c>
      <c r="L29" s="49">
        <f>'par 10'!B38</f>
        <v>7.7827941003892303</v>
      </c>
      <c r="M29" s="49">
        <f>'par 15'!B38</f>
        <v>6.0685683788930351</v>
      </c>
    </row>
    <row r="30" spans="1:15" x14ac:dyDescent="0.3">
      <c r="A30" s="46" t="s">
        <v>41</v>
      </c>
      <c r="C30" s="49">
        <f>'Méthode 1'!B42</f>
        <v>15.118864315095802</v>
      </c>
      <c r="D30" s="49">
        <f>'1er rinçage - cc ini div. par 2'!B39</f>
        <v>16.591479484724942</v>
      </c>
      <c r="E30" s="49">
        <f>'par 3'!B39</f>
        <v>14.028114141347544</v>
      </c>
      <c r="F30" s="49">
        <f>'par 4'!B39</f>
        <v>12.360679774997898</v>
      </c>
      <c r="G30" s="49">
        <f>'par 5'!B39</f>
        <v>11.147425268811283</v>
      </c>
      <c r="H30" s="49">
        <f>'par 6'!B39</f>
        <v>10.205155046766233</v>
      </c>
      <c r="I30" s="49">
        <f>'par 7'!B39</f>
        <v>9.4413084181396396</v>
      </c>
      <c r="J30" s="49">
        <f>'par 8'!B39</f>
        <v>8.8030154654319688</v>
      </c>
      <c r="K30" s="49">
        <f>'par 9'!B39</f>
        <v>8.2574185835055367</v>
      </c>
      <c r="L30" s="49">
        <f>'par 10'!B39</f>
        <v>7.7827941003892303</v>
      </c>
      <c r="M30" s="49">
        <f>'par 15'!B39</f>
        <v>6.0685683788930351</v>
      </c>
    </row>
  </sheetData>
  <sheetProtection password="F76B" sheet="1" objects="1" scenarios="1"/>
  <conditionalFormatting sqref="G7:M9 C7:F7">
    <cfRule type="cellIs" dxfId="65" priority="5" operator="equal">
      <formula>$N$7</formula>
    </cfRule>
    <cfRule type="expression" dxfId="64" priority="6">
      <formula>"B6=MIN($B6:$K6)"</formula>
    </cfRule>
  </conditionalFormatting>
  <conditionalFormatting sqref="C12:M12">
    <cfRule type="cellIs" dxfId="63" priority="2" operator="equal">
      <formula>$N$12</formula>
    </cfRule>
    <cfRule type="cellIs" dxfId="62" priority="4" operator="equal">
      <formula>$N$12</formula>
    </cfRule>
  </conditionalFormatting>
  <conditionalFormatting sqref="C18:M18">
    <cfRule type="cellIs" dxfId="61" priority="3" operator="equal">
      <formula>$N$18</formula>
    </cfRule>
  </conditionalFormatting>
  <conditionalFormatting sqref="C25:M25">
    <cfRule type="cellIs" dxfId="60" priority="1" operator="equal">
      <formula>$N$25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activeCell="D2" sqref="D2"/>
    </sheetView>
  </sheetViews>
  <sheetFormatPr baseColWidth="10" defaultRowHeight="14.4" x14ac:dyDescent="0.3"/>
  <cols>
    <col min="1" max="1" width="56.88671875" customWidth="1"/>
    <col min="2" max="2" width="42.33203125" customWidth="1"/>
    <col min="4" max="4" width="42.33203125" bestFit="1" customWidth="1"/>
    <col min="5" max="5" width="34.44140625" customWidth="1"/>
  </cols>
  <sheetData>
    <row r="1" spans="1:5" ht="57.6" x14ac:dyDescent="0.3">
      <c r="D1" s="5" t="s">
        <v>23</v>
      </c>
      <c r="E1" s="6" t="s">
        <v>5</v>
      </c>
    </row>
    <row r="2" spans="1:5" x14ac:dyDescent="0.3">
      <c r="A2" s="3" t="s">
        <v>17</v>
      </c>
      <c r="B2" s="8"/>
    </row>
    <row r="3" spans="1:5" x14ac:dyDescent="0.3">
      <c r="A3" t="s">
        <v>18</v>
      </c>
      <c r="B3" s="9">
        <f>'Optimalisation - Choix méthode'!B1</f>
        <v>500</v>
      </c>
    </row>
    <row r="4" spans="1:5" x14ac:dyDescent="0.3">
      <c r="A4" t="s">
        <v>24</v>
      </c>
      <c r="B4" s="9">
        <f>'Optimalisation - Choix méthode'!B2</f>
        <v>30</v>
      </c>
    </row>
    <row r="5" spans="1:5" x14ac:dyDescent="0.3">
      <c r="A5" t="s">
        <v>26</v>
      </c>
      <c r="B5" s="9">
        <f>'Optimalisation - Choix méthode'!B3</f>
        <v>10</v>
      </c>
      <c r="C5" s="1"/>
    </row>
    <row r="6" spans="1:5" x14ac:dyDescent="0.3">
      <c r="A6" s="7" t="s">
        <v>58</v>
      </c>
      <c r="B6" s="10">
        <v>100</v>
      </c>
    </row>
    <row r="7" spans="1:5" x14ac:dyDescent="0.3">
      <c r="B7" s="8"/>
    </row>
    <row r="8" spans="1:5" x14ac:dyDescent="0.3">
      <c r="A8" t="s">
        <v>25</v>
      </c>
      <c r="B8" s="8"/>
    </row>
    <row r="9" spans="1:5" x14ac:dyDescent="0.3">
      <c r="A9" s="92" t="str">
        <f>IF(B4&lt;B5,"Erreur - le Fond de cuve initial ne peut être inférieur au volume résiduel","/")</f>
        <v>/</v>
      </c>
      <c r="B9" s="92"/>
    </row>
    <row r="10" spans="1:5" x14ac:dyDescent="0.3">
      <c r="B10" s="8"/>
    </row>
    <row r="11" spans="1:5" x14ac:dyDescent="0.3">
      <c r="A11" s="20" t="s">
        <v>10</v>
      </c>
      <c r="B11" s="8"/>
      <c r="D11" s="31" t="s">
        <v>60</v>
      </c>
    </row>
    <row r="12" spans="1:5" ht="15" thickBot="1" x14ac:dyDescent="0.35">
      <c r="A12" s="16" t="s">
        <v>12</v>
      </c>
      <c r="B12" s="17">
        <f>99*B4</f>
        <v>2970</v>
      </c>
    </row>
    <row r="13" spans="1:5" ht="15.6" thickTop="1" thickBot="1" x14ac:dyDescent="0.35">
      <c r="A13" s="18" t="s">
        <v>9</v>
      </c>
      <c r="B13" s="33" t="str">
        <f>IF((B4*99&lt;B3),B4*99,"Impossible : Volume d'eau claire insuffisant")</f>
        <v>Impossible : Volume d'eau claire insuffisant</v>
      </c>
      <c r="C13" s="23" t="s">
        <v>1</v>
      </c>
      <c r="D13" s="2">
        <f>(B6*B4)/(B4+(99*B4))</f>
        <v>1</v>
      </c>
    </row>
    <row r="14" spans="1:5" ht="15" thickTop="1" x14ac:dyDescent="0.3">
      <c r="B14" s="11"/>
      <c r="C14" s="19"/>
    </row>
    <row r="15" spans="1:5" x14ac:dyDescent="0.3">
      <c r="A15" s="20" t="s">
        <v>11</v>
      </c>
      <c r="B15" s="8"/>
      <c r="C15" s="19"/>
    </row>
    <row r="16" spans="1:5" x14ac:dyDescent="0.3">
      <c r="A16" s="21" t="s">
        <v>7</v>
      </c>
      <c r="B16" s="22">
        <f>((100^(1/2)-1)*B4)</f>
        <v>270</v>
      </c>
      <c r="C16" s="19"/>
    </row>
    <row r="17" spans="1:4" ht="15" thickBot="1" x14ac:dyDescent="0.35">
      <c r="A17" s="24" t="s">
        <v>12</v>
      </c>
      <c r="B17" s="25">
        <f>B16</f>
        <v>270</v>
      </c>
      <c r="C17" s="19" t="s">
        <v>1</v>
      </c>
      <c r="D17" s="8">
        <f>((B6*B4)/(B4+B17))</f>
        <v>10</v>
      </c>
    </row>
    <row r="18" spans="1:4" ht="15" thickBot="1" x14ac:dyDescent="0.35">
      <c r="A18" s="16" t="s">
        <v>13</v>
      </c>
      <c r="B18" s="17">
        <f>(D17-1)*B5</f>
        <v>90</v>
      </c>
      <c r="C18" s="19" t="s">
        <v>1</v>
      </c>
      <c r="D18" s="12">
        <f>(D17/(B18+B5))*B5</f>
        <v>1</v>
      </c>
    </row>
    <row r="19" spans="1:4" ht="15.6" thickTop="1" thickBot="1" x14ac:dyDescent="0.35">
      <c r="A19" s="18" t="s">
        <v>9</v>
      </c>
      <c r="B19" s="34">
        <f>IF((B18+B17&lt;B3),(B18+B17),"Impossible : Volume d'eau claire insuffisant")</f>
        <v>360</v>
      </c>
      <c r="C19" s="19" t="s">
        <v>1</v>
      </c>
    </row>
    <row r="20" spans="1:4" ht="15" thickTop="1" x14ac:dyDescent="0.3">
      <c r="B20" s="11"/>
      <c r="C20" s="19"/>
    </row>
    <row r="21" spans="1:4" x14ac:dyDescent="0.3">
      <c r="A21" s="20" t="s">
        <v>19</v>
      </c>
      <c r="B21" s="11"/>
      <c r="C21" s="19"/>
    </row>
    <row r="22" spans="1:4" x14ac:dyDescent="0.3">
      <c r="A22" s="21" t="s">
        <v>7</v>
      </c>
      <c r="B22" s="22">
        <f>((100^(1/3)-1)*B4)</f>
        <v>109.24766500838338</v>
      </c>
      <c r="C22" s="19"/>
    </row>
    <row r="23" spans="1:4" x14ac:dyDescent="0.3">
      <c r="A23" s="16" t="s">
        <v>12</v>
      </c>
      <c r="B23" s="17">
        <f>B22</f>
        <v>109.24766500838338</v>
      </c>
      <c r="C23" s="19" t="s">
        <v>1</v>
      </c>
      <c r="D23" s="15">
        <f>(B4*B6)/(B4+B23)</f>
        <v>21.544346900318839</v>
      </c>
    </row>
    <row r="24" spans="1:4" ht="15" thickBot="1" x14ac:dyDescent="0.35">
      <c r="A24" s="16" t="s">
        <v>13</v>
      </c>
      <c r="B24" s="17">
        <f>((D23^(1/2)-1)*B5)</f>
        <v>36.415888336127793</v>
      </c>
      <c r="C24" s="19" t="s">
        <v>1</v>
      </c>
      <c r="D24" s="15">
        <f>((D23*$B$5)/($B$5+B24))</f>
        <v>4.6415888336127793</v>
      </c>
    </row>
    <row r="25" spans="1:4" ht="15" thickBot="1" x14ac:dyDescent="0.35">
      <c r="A25" s="16" t="s">
        <v>14</v>
      </c>
      <c r="B25" s="17">
        <f>B24</f>
        <v>36.415888336127793</v>
      </c>
      <c r="C25" s="19" t="s">
        <v>1</v>
      </c>
      <c r="D25" s="14">
        <f>((D24*$B$5)/($B$5+B24))</f>
        <v>1</v>
      </c>
    </row>
    <row r="26" spans="1:4" ht="15.6" thickTop="1" thickBot="1" x14ac:dyDescent="0.35">
      <c r="A26" s="18" t="s">
        <v>9</v>
      </c>
      <c r="B26" s="34">
        <f>IF((B25+B24+B23&lt;B3),(B25+B24+B23),"Impossible : Volume d'eau claire insuffisant")</f>
        <v>182.07944168063898</v>
      </c>
      <c r="C26" s="19" t="s">
        <v>1</v>
      </c>
      <c r="D26" s="13"/>
    </row>
    <row r="27" spans="1:4" ht="15" thickTop="1" x14ac:dyDescent="0.3">
      <c r="B27" s="11"/>
      <c r="C27" s="19"/>
    </row>
    <row r="28" spans="1:4" x14ac:dyDescent="0.3">
      <c r="A28" s="20" t="s">
        <v>20</v>
      </c>
      <c r="B28" s="11"/>
      <c r="C28" s="19"/>
    </row>
    <row r="29" spans="1:4" x14ac:dyDescent="0.3">
      <c r="A29" s="21" t="s">
        <v>6</v>
      </c>
      <c r="B29" s="22">
        <f>((100^(1/4))-1)*B4</f>
        <v>64.868329805051388</v>
      </c>
      <c r="C29" s="19"/>
    </row>
    <row r="30" spans="1:4" x14ac:dyDescent="0.3">
      <c r="A30" s="16" t="s">
        <v>12</v>
      </c>
      <c r="B30" s="17">
        <f>B29</f>
        <v>64.868329805051388</v>
      </c>
      <c r="C30" s="19" t="s">
        <v>1</v>
      </c>
      <c r="D30" s="8">
        <f>($B$4*B6)/($B$4+B30)</f>
        <v>31.622776601683789</v>
      </c>
    </row>
    <row r="31" spans="1:4" x14ac:dyDescent="0.3">
      <c r="A31" s="16" t="s">
        <v>13</v>
      </c>
      <c r="B31" s="17">
        <f>((D30^(1/3)-1)*B5)</f>
        <v>21.622776601683789</v>
      </c>
      <c r="C31" s="19" t="s">
        <v>1</v>
      </c>
      <c r="D31" s="8">
        <f>($B$5*D30)/($B$5+B31)</f>
        <v>10</v>
      </c>
    </row>
    <row r="32" spans="1:4" ht="15" thickBot="1" x14ac:dyDescent="0.35">
      <c r="A32" s="16" t="s">
        <v>14</v>
      </c>
      <c r="B32" s="17">
        <f>B31</f>
        <v>21.622776601683789</v>
      </c>
      <c r="C32" s="19" t="s">
        <v>1</v>
      </c>
      <c r="D32" s="8">
        <f>($B$5*D31)/($B$5+B32)</f>
        <v>3.16227766016838</v>
      </c>
    </row>
    <row r="33" spans="1:4" ht="15" thickBot="1" x14ac:dyDescent="0.35">
      <c r="A33" s="16" t="s">
        <v>15</v>
      </c>
      <c r="B33" s="17">
        <f>B31</f>
        <v>21.622776601683789</v>
      </c>
      <c r="C33" s="19" t="s">
        <v>1</v>
      </c>
      <c r="D33" s="14">
        <f>(D32*$B$5)/($B$5+B33)</f>
        <v>1.0000000000000004</v>
      </c>
    </row>
    <row r="34" spans="1:4" ht="15.6" thickTop="1" thickBot="1" x14ac:dyDescent="0.35">
      <c r="A34" s="18" t="s">
        <v>9</v>
      </c>
      <c r="B34" s="34">
        <f>IF((B33+B32+B31+B30&lt;B3),(B33+B32+B31+B30),"Impossible : Volume d'eau claire insuffisant")</f>
        <v>129.73665961010275</v>
      </c>
      <c r="C34" s="19" t="s">
        <v>1</v>
      </c>
    </row>
    <row r="35" spans="1:4" ht="15" thickTop="1" x14ac:dyDescent="0.3">
      <c r="B35" s="8"/>
    </row>
    <row r="36" spans="1:4" x14ac:dyDescent="0.3">
      <c r="A36" s="20" t="s">
        <v>21</v>
      </c>
      <c r="B36" s="8"/>
    </row>
    <row r="37" spans="1:4" x14ac:dyDescent="0.3">
      <c r="A37" s="21" t="s">
        <v>6</v>
      </c>
      <c r="B37" s="22">
        <f>((100^(1/5))-1)*$B$4</f>
        <v>45.356592945287417</v>
      </c>
    </row>
    <row r="38" spans="1:4" x14ac:dyDescent="0.3">
      <c r="A38" s="16" t="s">
        <v>12</v>
      </c>
      <c r="B38" s="27">
        <f>B37</f>
        <v>45.356592945287417</v>
      </c>
      <c r="C38" s="19" t="s">
        <v>1</v>
      </c>
      <c r="D38" s="8">
        <f>($B$4*B6)/($B$4+B38)</f>
        <v>39.81071705534972</v>
      </c>
    </row>
    <row r="39" spans="1:4" x14ac:dyDescent="0.3">
      <c r="A39" s="16" t="s">
        <v>13</v>
      </c>
      <c r="B39" s="17">
        <f>((D38^(1/4)-1)*B5)</f>
        <v>15.118864315095802</v>
      </c>
      <c r="C39" s="19" t="s">
        <v>1</v>
      </c>
      <c r="D39" s="8">
        <f>($B$5*D38)/($B$5+B39)</f>
        <v>15.848931924611133</v>
      </c>
    </row>
    <row r="40" spans="1:4" x14ac:dyDescent="0.3">
      <c r="A40" s="16" t="s">
        <v>14</v>
      </c>
      <c r="B40" s="17">
        <f>B39</f>
        <v>15.118864315095802</v>
      </c>
      <c r="C40" s="19" t="s">
        <v>1</v>
      </c>
      <c r="D40" s="8">
        <f t="shared" ref="D40:D42" si="0">($B$5*D39)/($B$5+B40)</f>
        <v>6.3095734448019316</v>
      </c>
    </row>
    <row r="41" spans="1:4" ht="15" thickBot="1" x14ac:dyDescent="0.35">
      <c r="A41" s="16" t="s">
        <v>15</v>
      </c>
      <c r="B41" s="17">
        <f>B39</f>
        <v>15.118864315095802</v>
      </c>
      <c r="C41" s="19" t="s">
        <v>1</v>
      </c>
      <c r="D41" s="8">
        <f t="shared" si="0"/>
        <v>2.5118864315095797</v>
      </c>
    </row>
    <row r="42" spans="1:4" ht="15" thickBot="1" x14ac:dyDescent="0.35">
      <c r="A42" s="16" t="s">
        <v>16</v>
      </c>
      <c r="B42" s="17">
        <f>B39</f>
        <v>15.118864315095802</v>
      </c>
      <c r="C42" s="19" t="s">
        <v>1</v>
      </c>
      <c r="D42" s="14">
        <f t="shared" si="0"/>
        <v>0.99999999999999989</v>
      </c>
    </row>
    <row r="43" spans="1:4" ht="15.6" thickTop="1" thickBot="1" x14ac:dyDescent="0.35">
      <c r="A43" s="18" t="s">
        <v>9</v>
      </c>
      <c r="B43" s="32">
        <f>IF(B38+B39+B40+B41+B42&gt;B3,"Impossible : Volume d'eau claire insuffisant",B38+B39+B40+B41+B42)</f>
        <v>105.83205020567064</v>
      </c>
      <c r="C43" s="19" t="s">
        <v>1</v>
      </c>
    </row>
    <row r="44" spans="1:4" ht="15" thickTop="1" x14ac:dyDescent="0.3">
      <c r="B44" s="8"/>
      <c r="C44" s="1"/>
    </row>
    <row r="46" spans="1:4" ht="71.25" customHeight="1" x14ac:dyDescent="0.3">
      <c r="A46" s="90" t="s">
        <v>22</v>
      </c>
      <c r="B46" s="90"/>
      <c r="C46" s="90"/>
      <c r="D46" s="90"/>
    </row>
    <row r="48" spans="1:4" ht="39" customHeight="1" x14ac:dyDescent="0.3">
      <c r="A48" s="91"/>
      <c r="B48" s="91"/>
      <c r="C48" s="91"/>
      <c r="D48" s="91"/>
    </row>
  </sheetData>
  <sheetProtection password="F76B" sheet="1" objects="1" scenarios="1"/>
  <mergeCells count="3">
    <mergeCell ref="A46:D46"/>
    <mergeCell ref="A48:D48"/>
    <mergeCell ref="A9:B9"/>
  </mergeCells>
  <conditionalFormatting sqref="B13">
    <cfRule type="containsText" dxfId="59" priority="10" operator="containsText" text="Impossible : Volume d'eau claire insuffisant">
      <formula>NOT(ISERROR(SEARCH("Impossible : Volume d'eau claire insuffisant",B13)))</formula>
    </cfRule>
  </conditionalFormatting>
  <conditionalFormatting sqref="B20">
    <cfRule type="containsText" dxfId="58" priority="9" operator="containsText" text="Volume d'eau claire insuffisant">
      <formula>NOT(ISERROR(SEARCH("Volume d'eau claire insuffisant",B20)))</formula>
    </cfRule>
  </conditionalFormatting>
  <conditionalFormatting sqref="B19">
    <cfRule type="containsText" dxfId="57" priority="8" operator="containsText" text="Volume d'eau claire insuffisant">
      <formula>NOT(ISERROR(SEARCH("Volume d'eau claire insuffisant",B19)))</formula>
    </cfRule>
  </conditionalFormatting>
  <conditionalFormatting sqref="B26">
    <cfRule type="containsText" dxfId="56" priority="7" operator="containsText" text="Volume d'eau claire insuffisant">
      <formula>NOT(ISERROR(SEARCH("Volume d'eau claire insuffisant",B26)))</formula>
    </cfRule>
  </conditionalFormatting>
  <conditionalFormatting sqref="B34">
    <cfRule type="containsText" dxfId="55" priority="6" operator="containsText" text="Volume d'eau claire insuffisant">
      <formula>NOT(ISERROR(SEARCH("Volume d'eau claire insuffisant",B34)))</formula>
    </cfRule>
  </conditionalFormatting>
  <conditionalFormatting sqref="B17">
    <cfRule type="containsText" dxfId="54" priority="3" operator="containsText" text="Impossible : Volume d'eau claire insuffisant">
      <formula>NOT(ISERROR(SEARCH("Impossible : Volume d'eau claire insuffisant",B17)))</formula>
    </cfRule>
  </conditionalFormatting>
  <conditionalFormatting sqref="B44">
    <cfRule type="containsText" dxfId="53" priority="2" operator="containsText" text="Impossible">
      <formula>NOT(ISERROR(SEARCH("Impossible",B44)))</formula>
    </cfRule>
  </conditionalFormatting>
  <conditionalFormatting sqref="B43">
    <cfRule type="containsText" dxfId="52" priority="1" operator="containsText" text="Impossible">
      <formula>NOT(ISERROR(SEARCH("Impossible",B43)))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AC4FB4B6-1868-4F8B-A35F-BE2F4021B529}">
            <xm:f>NOT(ISERROR(SEARCH($A$9,A9)))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A9:B9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1"/>
  <sheetViews>
    <sheetView workbookViewId="0">
      <selection activeCell="D2" sqref="D2"/>
    </sheetView>
  </sheetViews>
  <sheetFormatPr baseColWidth="10" defaultColWidth="11.44140625" defaultRowHeight="14.4" x14ac:dyDescent="0.3"/>
  <cols>
    <col min="1" max="1" width="57.5546875" style="38" customWidth="1"/>
    <col min="2" max="2" width="42" style="38" customWidth="1"/>
    <col min="3" max="3" width="11.44140625" style="38"/>
    <col min="4" max="4" width="48.6640625" style="38" customWidth="1"/>
    <col min="5" max="5" width="34.109375" style="38" customWidth="1"/>
    <col min="6" max="16384" width="11.44140625" style="38"/>
  </cols>
  <sheetData>
    <row r="1" spans="1:5" ht="75.75" customHeight="1" x14ac:dyDescent="0.3">
      <c r="A1" s="94" t="s">
        <v>27</v>
      </c>
      <c r="B1" s="94"/>
      <c r="D1" s="52" t="s">
        <v>23</v>
      </c>
      <c r="E1" s="53" t="s">
        <v>5</v>
      </c>
    </row>
    <row r="3" spans="1:5" x14ac:dyDescent="0.3">
      <c r="A3" s="54" t="s">
        <v>0</v>
      </c>
      <c r="B3" s="40"/>
    </row>
    <row r="4" spans="1:5" x14ac:dyDescent="0.3">
      <c r="A4" s="38" t="s">
        <v>18</v>
      </c>
      <c r="B4" s="39">
        <f>'Optimalisation - Choix méthode'!B1</f>
        <v>500</v>
      </c>
    </row>
    <row r="5" spans="1:5" x14ac:dyDescent="0.3">
      <c r="A5" s="38" t="s">
        <v>24</v>
      </c>
      <c r="B5" s="39">
        <f>'Optimalisation - Choix méthode'!B2</f>
        <v>30</v>
      </c>
      <c r="C5" s="55"/>
    </row>
    <row r="6" spans="1:5" x14ac:dyDescent="0.3">
      <c r="A6" s="38" t="s">
        <v>26</v>
      </c>
      <c r="B6" s="39">
        <f>'Optimalisation - Choix méthode'!B3</f>
        <v>10</v>
      </c>
      <c r="C6" s="55"/>
    </row>
    <row r="7" spans="1:5" x14ac:dyDescent="0.3">
      <c r="A7" s="56" t="s">
        <v>58</v>
      </c>
      <c r="B7" s="57">
        <v>100</v>
      </c>
    </row>
    <row r="8" spans="1:5" x14ac:dyDescent="0.3">
      <c r="B8" s="40"/>
    </row>
    <row r="9" spans="1:5" x14ac:dyDescent="0.3">
      <c r="A9" s="38" t="s">
        <v>25</v>
      </c>
      <c r="B9" s="40"/>
    </row>
    <row r="10" spans="1:5" x14ac:dyDescent="0.3">
      <c r="A10" s="93" t="str">
        <f>IF(B5&lt;B6,"Erreur - le Fond de cuve initial ne peut être inférieur au volume résiduel","/")</f>
        <v>/</v>
      </c>
      <c r="B10" s="93"/>
    </row>
    <row r="12" spans="1:5" x14ac:dyDescent="0.3">
      <c r="A12" s="58" t="s">
        <v>10</v>
      </c>
      <c r="B12" s="40"/>
      <c r="D12" s="59" t="s">
        <v>61</v>
      </c>
    </row>
    <row r="13" spans="1:5" ht="15" thickBot="1" x14ac:dyDescent="0.35">
      <c r="A13" s="60" t="s">
        <v>12</v>
      </c>
      <c r="B13" s="61">
        <f>99*B5</f>
        <v>2970</v>
      </c>
    </row>
    <row r="14" spans="1:5" ht="15.6" thickTop="1" thickBot="1" x14ac:dyDescent="0.35">
      <c r="A14" s="62" t="s">
        <v>9</v>
      </c>
      <c r="B14" s="63" t="str">
        <f>IF('1er rinçage - cc ini div. par 2'!B13&lt;'1er rinçage - cc ini div. par 2'!B4,'1er rinçage - cc ini div. par 2'!B13,"Impossible : Volume d'eau claire insiffisant")</f>
        <v>Impossible : Volume d'eau claire insiffisant</v>
      </c>
      <c r="C14" s="51" t="s">
        <v>1</v>
      </c>
      <c r="D14" s="64" t="e">
        <f>(B7/(B5+B14))*B5</f>
        <v>#VALUE!</v>
      </c>
    </row>
    <row r="15" spans="1:5" ht="15" thickTop="1" x14ac:dyDescent="0.3">
      <c r="B15" s="51"/>
    </row>
    <row r="16" spans="1:5" x14ac:dyDescent="0.3">
      <c r="A16" s="58" t="s">
        <v>11</v>
      </c>
      <c r="B16" s="40"/>
    </row>
    <row r="17" spans="1:4" ht="15" thickBot="1" x14ac:dyDescent="0.35">
      <c r="A17" s="60" t="s">
        <v>12</v>
      </c>
      <c r="B17" s="65">
        <f>1*$B$5</f>
        <v>30</v>
      </c>
      <c r="C17" s="55" t="s">
        <v>1</v>
      </c>
      <c r="D17" s="40">
        <f>((B7*B5)/(B5+B17))</f>
        <v>50</v>
      </c>
    </row>
    <row r="18" spans="1:4" ht="15" thickBot="1" x14ac:dyDescent="0.35">
      <c r="A18" s="60" t="s">
        <v>13</v>
      </c>
      <c r="B18" s="66">
        <f>(D17-1)*B6</f>
        <v>490</v>
      </c>
      <c r="C18" s="55" t="s">
        <v>1</v>
      </c>
      <c r="D18" s="67">
        <f>(D17/(B18+B6))*B6</f>
        <v>1</v>
      </c>
    </row>
    <row r="19" spans="1:4" ht="15.6" thickTop="1" thickBot="1" x14ac:dyDescent="0.35">
      <c r="A19" s="62" t="s">
        <v>9</v>
      </c>
      <c r="B19" s="68" t="str">
        <f>IF(B17+B18&gt;$B$4,"Impossible : Volume d'eau claire insuffisant",B17+B18)</f>
        <v>Impossible : Volume d'eau claire insuffisant</v>
      </c>
      <c r="C19" s="55" t="s">
        <v>1</v>
      </c>
    </row>
    <row r="20" spans="1:4" ht="15" thickTop="1" x14ac:dyDescent="0.3">
      <c r="B20" s="51"/>
    </row>
    <row r="21" spans="1:4" x14ac:dyDescent="0.3">
      <c r="A21" s="58" t="s">
        <v>19</v>
      </c>
      <c r="B21" s="51"/>
    </row>
    <row r="22" spans="1:4" x14ac:dyDescent="0.3">
      <c r="A22" s="60" t="s">
        <v>12</v>
      </c>
      <c r="B22" s="65">
        <f>1*$B$5</f>
        <v>30</v>
      </c>
      <c r="C22" s="55" t="s">
        <v>1</v>
      </c>
      <c r="D22" s="38">
        <f>(B5*B7)/(B5+B22)</f>
        <v>50</v>
      </c>
    </row>
    <row r="23" spans="1:4" ht="15" thickBot="1" x14ac:dyDescent="0.35">
      <c r="A23" s="60" t="s">
        <v>13</v>
      </c>
      <c r="B23" s="61">
        <f>(D22^(1/2)-1)*$B$6</f>
        <v>60.710678118654755</v>
      </c>
      <c r="C23" s="55" t="s">
        <v>1</v>
      </c>
      <c r="D23" s="38">
        <f>((D22*B6)/(B6+B23))</f>
        <v>7.0710678118654746</v>
      </c>
    </row>
    <row r="24" spans="1:4" ht="15" thickBot="1" x14ac:dyDescent="0.35">
      <c r="A24" s="60" t="s">
        <v>14</v>
      </c>
      <c r="B24" s="66">
        <f>(D22^(1/2)-1)*B6</f>
        <v>60.710678118654755</v>
      </c>
      <c r="C24" s="55" t="s">
        <v>1</v>
      </c>
      <c r="D24" s="69">
        <f>((D23*B6)/(B6+B24))</f>
        <v>0.99999999999999978</v>
      </c>
    </row>
    <row r="25" spans="1:4" ht="15.6" thickTop="1" thickBot="1" x14ac:dyDescent="0.35">
      <c r="A25" s="62" t="s">
        <v>9</v>
      </c>
      <c r="B25" s="68">
        <f>IF(B22+B23+B24&gt;$B$4,"Impossible : Volume d'eau claire insuffisant",B22+B23+B24)</f>
        <v>151.42135623730951</v>
      </c>
      <c r="C25" s="55" t="s">
        <v>1</v>
      </c>
      <c r="D25" s="70"/>
    </row>
    <row r="26" spans="1:4" ht="15" thickTop="1" x14ac:dyDescent="0.3">
      <c r="B26" s="51"/>
    </row>
    <row r="27" spans="1:4" x14ac:dyDescent="0.3">
      <c r="A27" s="58" t="s">
        <v>20</v>
      </c>
      <c r="B27" s="51"/>
    </row>
    <row r="28" spans="1:4" x14ac:dyDescent="0.3">
      <c r="A28" s="60" t="s">
        <v>12</v>
      </c>
      <c r="B28" s="65">
        <f>1*$B$5</f>
        <v>30</v>
      </c>
      <c r="C28" s="55" t="s">
        <v>1</v>
      </c>
      <c r="D28" s="38">
        <f>($B$5*B7)/($B$5+B28)</f>
        <v>50</v>
      </c>
    </row>
    <row r="29" spans="1:4" x14ac:dyDescent="0.3">
      <c r="A29" s="60" t="s">
        <v>13</v>
      </c>
      <c r="B29" s="61">
        <f>(D28^(1/3)-1)*B6</f>
        <v>26.840314986403865</v>
      </c>
      <c r="C29" s="55" t="s">
        <v>1</v>
      </c>
      <c r="D29" s="38">
        <f>($B$6*D28)/($B$6+B29)</f>
        <v>13.572088082974533</v>
      </c>
    </row>
    <row r="30" spans="1:4" ht="15" thickBot="1" x14ac:dyDescent="0.35">
      <c r="A30" s="60" t="s">
        <v>14</v>
      </c>
      <c r="B30" s="61">
        <f>($D$28^(1/3)-1)*$B$6</f>
        <v>26.840314986403865</v>
      </c>
      <c r="C30" s="55" t="s">
        <v>1</v>
      </c>
      <c r="D30" s="38">
        <f>($B$6*D29)/($B$6+B30)</f>
        <v>3.6840314986403868</v>
      </c>
    </row>
    <row r="31" spans="1:4" ht="15" thickBot="1" x14ac:dyDescent="0.35">
      <c r="A31" s="60" t="s">
        <v>15</v>
      </c>
      <c r="B31" s="61">
        <f>($D$28^(1/3)-1)*$B$6</f>
        <v>26.840314986403865</v>
      </c>
      <c r="C31" s="55" t="s">
        <v>1</v>
      </c>
      <c r="D31" s="69">
        <f>(D30*$B$6)/($B$6+B31)</f>
        <v>1</v>
      </c>
    </row>
    <row r="32" spans="1:4" ht="15.6" thickTop="1" thickBot="1" x14ac:dyDescent="0.35">
      <c r="A32" s="62" t="s">
        <v>9</v>
      </c>
      <c r="B32" s="68">
        <f>IF(B28+B29+B30+B31&gt;$B$4,"Impossible : Volume d'eau claire insuffisant",B28+B29+B30+B31)</f>
        <v>110.5209449592116</v>
      </c>
      <c r="C32" s="55" t="s">
        <v>1</v>
      </c>
    </row>
    <row r="33" spans="1:4" ht="15" thickTop="1" x14ac:dyDescent="0.3">
      <c r="B33" s="40"/>
    </row>
    <row r="34" spans="1:4" x14ac:dyDescent="0.3">
      <c r="A34" s="58" t="s">
        <v>21</v>
      </c>
      <c r="B34" s="40"/>
    </row>
    <row r="35" spans="1:4" x14ac:dyDescent="0.3">
      <c r="A35" s="60" t="s">
        <v>12</v>
      </c>
      <c r="B35" s="65">
        <f>1*$B$5</f>
        <v>30</v>
      </c>
      <c r="C35" s="55" t="s">
        <v>1</v>
      </c>
      <c r="D35" s="38">
        <f>($B$5*B7)/($B$5+B35)</f>
        <v>50</v>
      </c>
    </row>
    <row r="36" spans="1:4" x14ac:dyDescent="0.3">
      <c r="A36" s="60" t="s">
        <v>13</v>
      </c>
      <c r="B36" s="61">
        <f>($D$35^(1/4)-1)*$B$6</f>
        <v>16.591479484724942</v>
      </c>
      <c r="C36" s="55" t="s">
        <v>1</v>
      </c>
      <c r="D36" s="38">
        <f>($B$6*D35)/($B$6+B36)</f>
        <v>18.803015465431969</v>
      </c>
    </row>
    <row r="37" spans="1:4" x14ac:dyDescent="0.3">
      <c r="A37" s="60" t="s">
        <v>14</v>
      </c>
      <c r="B37" s="61">
        <f>($D$35^(1/4)-1)*$B$6</f>
        <v>16.591479484724942</v>
      </c>
      <c r="C37" s="55" t="s">
        <v>1</v>
      </c>
      <c r="D37" s="38">
        <f t="shared" ref="D37:D39" si="0">($B$6*D36)/($B$6+B37)</f>
        <v>7.0710678118654755</v>
      </c>
    </row>
    <row r="38" spans="1:4" ht="15" thickBot="1" x14ac:dyDescent="0.35">
      <c r="A38" s="60" t="s">
        <v>15</v>
      </c>
      <c r="B38" s="61">
        <f>($D$35^(1/4)-1)*$B$6</f>
        <v>16.591479484724942</v>
      </c>
      <c r="C38" s="55" t="s">
        <v>1</v>
      </c>
      <c r="D38" s="38">
        <f t="shared" si="0"/>
        <v>2.6591479484724942</v>
      </c>
    </row>
    <row r="39" spans="1:4" ht="15" thickBot="1" x14ac:dyDescent="0.35">
      <c r="A39" s="60" t="s">
        <v>16</v>
      </c>
      <c r="B39" s="61">
        <f>($D$35^(1/4)-1)*$B$6</f>
        <v>16.591479484724942</v>
      </c>
      <c r="C39" s="55" t="s">
        <v>1</v>
      </c>
      <c r="D39" s="69">
        <f t="shared" si="0"/>
        <v>1</v>
      </c>
    </row>
    <row r="40" spans="1:4" ht="15.6" thickTop="1" thickBot="1" x14ac:dyDescent="0.35">
      <c r="A40" s="62" t="s">
        <v>9</v>
      </c>
      <c r="B40" s="71">
        <f>IF(B35+B36+B37+B38+B39&gt;$B$4,"Impossible : Volume d'eau claire insuffisant",B35+B36+B37+B38+B39)</f>
        <v>96.36591793889977</v>
      </c>
      <c r="C40" s="55" t="s">
        <v>1</v>
      </c>
    </row>
    <row r="41" spans="1:4" ht="15" thickTop="1" x14ac:dyDescent="0.3">
      <c r="B41" s="40"/>
      <c r="C41" s="55"/>
    </row>
  </sheetData>
  <sheetProtection password="F76B" sheet="1" objects="1" scenarios="1"/>
  <mergeCells count="2">
    <mergeCell ref="A10:B10"/>
    <mergeCell ref="A1:B1"/>
  </mergeCells>
  <conditionalFormatting sqref="B14">
    <cfRule type="containsText" dxfId="50" priority="4" operator="containsText" text="Impossible">
      <formula>NOT(ISERROR(SEARCH("Impossible",B14)))</formula>
    </cfRule>
  </conditionalFormatting>
  <conditionalFormatting sqref="B14:B40">
    <cfRule type="containsText" dxfId="49" priority="3" operator="containsText" text="Impossible">
      <formula>NOT(ISERROR(SEARCH("Impossible",B14)))</formula>
    </cfRule>
  </conditionalFormatting>
  <conditionalFormatting sqref="A10:B10">
    <cfRule type="containsText" dxfId="48" priority="1" operator="containsText" text="Erreur">
      <formula>NOT(ISERROR(SEARCH("Erreur",A10)))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1006687-B8BA-42FB-B742-ADE50B7CDFBF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1"/>
  <sheetViews>
    <sheetView topLeftCell="A4" workbookViewId="0">
      <selection activeCell="D2" sqref="D2"/>
    </sheetView>
  </sheetViews>
  <sheetFormatPr baseColWidth="10" defaultColWidth="11.44140625" defaultRowHeight="14.4" x14ac:dyDescent="0.3"/>
  <cols>
    <col min="1" max="1" width="56.6640625" style="38" customWidth="1"/>
    <col min="2" max="2" width="42" style="38" customWidth="1"/>
    <col min="3" max="3" width="11.44140625" style="72"/>
    <col min="4" max="4" width="48" style="38" customWidth="1"/>
    <col min="5" max="16384" width="11.44140625" style="38"/>
  </cols>
  <sheetData>
    <row r="1" spans="1:4" x14ac:dyDescent="0.3">
      <c r="A1" s="94" t="s">
        <v>49</v>
      </c>
      <c r="B1" s="94"/>
    </row>
    <row r="3" spans="1:4" x14ac:dyDescent="0.3">
      <c r="A3" s="54" t="s">
        <v>0</v>
      </c>
      <c r="B3" s="40"/>
    </row>
    <row r="4" spans="1:4" x14ac:dyDescent="0.3">
      <c r="A4" s="38" t="s">
        <v>18</v>
      </c>
      <c r="B4" s="39">
        <f>'Optimalisation - Choix méthode'!B1</f>
        <v>500</v>
      </c>
    </row>
    <row r="5" spans="1:4" x14ac:dyDescent="0.3">
      <c r="A5" s="38" t="s">
        <v>24</v>
      </c>
      <c r="B5" s="39">
        <f>'Optimalisation - Choix méthode'!B2</f>
        <v>30</v>
      </c>
    </row>
    <row r="6" spans="1:4" x14ac:dyDescent="0.3">
      <c r="A6" s="38" t="s">
        <v>26</v>
      </c>
      <c r="B6" s="39">
        <f>'Optimalisation - Choix méthode'!B3</f>
        <v>10</v>
      </c>
    </row>
    <row r="7" spans="1:4" x14ac:dyDescent="0.3">
      <c r="A7" s="56" t="s">
        <v>58</v>
      </c>
      <c r="B7" s="57">
        <v>100</v>
      </c>
    </row>
    <row r="8" spans="1:4" x14ac:dyDescent="0.3">
      <c r="B8" s="40"/>
    </row>
    <row r="9" spans="1:4" x14ac:dyDescent="0.3">
      <c r="A9" s="38" t="s">
        <v>25</v>
      </c>
      <c r="B9" s="40"/>
    </row>
    <row r="10" spans="1:4" x14ac:dyDescent="0.3">
      <c r="A10" s="93" t="str">
        <f>IF(B5&lt;B6,"Erreur - le Fond de cuve initial ne peut être inférieur au volume résiduel","/")</f>
        <v>/</v>
      </c>
      <c r="B10" s="93"/>
    </row>
    <row r="11" spans="1:4" x14ac:dyDescent="0.3">
      <c r="A11" s="73"/>
      <c r="B11" s="73"/>
    </row>
    <row r="12" spans="1:4" x14ac:dyDescent="0.3">
      <c r="A12" s="58" t="s">
        <v>10</v>
      </c>
      <c r="B12" s="40"/>
      <c r="D12" s="59" t="s">
        <v>61</v>
      </c>
    </row>
    <row r="13" spans="1:4" ht="15" thickBot="1" x14ac:dyDescent="0.35">
      <c r="A13" s="60" t="s">
        <v>12</v>
      </c>
      <c r="B13" s="61">
        <f>99*B5</f>
        <v>2970</v>
      </c>
    </row>
    <row r="14" spans="1:4" ht="15.6" thickTop="1" thickBot="1" x14ac:dyDescent="0.35">
      <c r="A14" s="62" t="s">
        <v>9</v>
      </c>
      <c r="B14" s="68" t="str">
        <f>IF(B13&gt;B4,"Impossible : Volume d'eau claire insuffisant",B13)</f>
        <v>Impossible : Volume d'eau claire insuffisant</v>
      </c>
      <c r="C14" s="74" t="s">
        <v>1</v>
      </c>
      <c r="D14" s="64">
        <f>(B7*B5)/(B5+B13)</f>
        <v>1</v>
      </c>
    </row>
    <row r="15" spans="1:4" ht="15" thickTop="1" x14ac:dyDescent="0.3">
      <c r="B15" s="51"/>
    </row>
    <row r="16" spans="1:4" x14ac:dyDescent="0.3">
      <c r="A16" s="58" t="s">
        <v>2</v>
      </c>
      <c r="B16" s="40"/>
    </row>
    <row r="17" spans="1:4" ht="15" thickBot="1" x14ac:dyDescent="0.35">
      <c r="A17" s="60" t="s">
        <v>12</v>
      </c>
      <c r="B17" s="61">
        <f>2*$B$5</f>
        <v>60</v>
      </c>
      <c r="C17" s="72" t="s">
        <v>1</v>
      </c>
      <c r="D17" s="40">
        <f>((B7*B5)/(B5+B17))</f>
        <v>33.333333333333336</v>
      </c>
    </row>
    <row r="18" spans="1:4" ht="15" thickBot="1" x14ac:dyDescent="0.35">
      <c r="A18" s="60" t="s">
        <v>13</v>
      </c>
      <c r="B18" s="61">
        <f>(D17-1)*B6</f>
        <v>323.33333333333337</v>
      </c>
      <c r="C18" s="72" t="s">
        <v>1</v>
      </c>
      <c r="D18" s="67">
        <f>(D17/(B18+B6))*B6</f>
        <v>0.99999999999999989</v>
      </c>
    </row>
    <row r="19" spans="1:4" ht="15.6" thickTop="1" thickBot="1" x14ac:dyDescent="0.35">
      <c r="A19" s="62" t="s">
        <v>9</v>
      </c>
      <c r="B19" s="68" t="str">
        <f>IF(B17+B18&gt;F19,"Impossible : Volume d'eau claire insuffisant",B18+B17)</f>
        <v>Impossible : Volume d'eau claire insuffisant</v>
      </c>
      <c r="C19" s="72" t="s">
        <v>1</v>
      </c>
    </row>
    <row r="20" spans="1:4" ht="15" thickTop="1" x14ac:dyDescent="0.3">
      <c r="B20" s="51"/>
    </row>
    <row r="21" spans="1:4" x14ac:dyDescent="0.3">
      <c r="A21" s="58" t="s">
        <v>4</v>
      </c>
      <c r="B21" s="51"/>
    </row>
    <row r="22" spans="1:4" x14ac:dyDescent="0.3">
      <c r="A22" s="60" t="s">
        <v>12</v>
      </c>
      <c r="B22" s="61">
        <f>2*$B$5</f>
        <v>60</v>
      </c>
      <c r="C22" s="72" t="s">
        <v>1</v>
      </c>
      <c r="D22" s="40">
        <f>(B5*B7)/(B5+B22)</f>
        <v>33.333333333333336</v>
      </c>
    </row>
    <row r="23" spans="1:4" ht="15" thickBot="1" x14ac:dyDescent="0.35">
      <c r="A23" s="60" t="s">
        <v>13</v>
      </c>
      <c r="B23" s="61">
        <f>(D22^(1/2)-1)*$B$6</f>
        <v>47.735026918962582</v>
      </c>
      <c r="C23" s="72" t="s">
        <v>1</v>
      </c>
      <c r="D23" s="40">
        <f>((D22*B6)/(B6+B23))</f>
        <v>5.7735026918962573</v>
      </c>
    </row>
    <row r="24" spans="1:4" ht="15" thickBot="1" x14ac:dyDescent="0.35">
      <c r="A24" s="60" t="s">
        <v>14</v>
      </c>
      <c r="B24" s="61">
        <f>(D22^(1/2)-1)*B6</f>
        <v>47.735026918962582</v>
      </c>
      <c r="C24" s="72" t="s">
        <v>1</v>
      </c>
      <c r="D24" s="69">
        <f>((D23*B6)/(B6+B24))</f>
        <v>0.99999999999999989</v>
      </c>
    </row>
    <row r="25" spans="1:4" ht="15.6" thickTop="1" thickBot="1" x14ac:dyDescent="0.35">
      <c r="A25" s="62" t="s">
        <v>9</v>
      </c>
      <c r="B25" s="68">
        <f>IF(B22+B23+B24&gt;B4,"Impossible : Volume d'eau claire insuffisant",B22+B23+B24)</f>
        <v>155.47005383792515</v>
      </c>
      <c r="C25" s="72" t="s">
        <v>1</v>
      </c>
      <c r="D25" s="70"/>
    </row>
    <row r="26" spans="1:4" ht="15" thickTop="1" x14ac:dyDescent="0.3">
      <c r="B26" s="51"/>
    </row>
    <row r="27" spans="1:4" x14ac:dyDescent="0.3">
      <c r="A27" s="58" t="s">
        <v>3</v>
      </c>
      <c r="B27" s="51"/>
    </row>
    <row r="28" spans="1:4" x14ac:dyDescent="0.3">
      <c r="A28" s="60" t="s">
        <v>12</v>
      </c>
      <c r="B28" s="61">
        <f>2*$B$5</f>
        <v>60</v>
      </c>
      <c r="C28" s="72" t="s">
        <v>1</v>
      </c>
      <c r="D28" s="40">
        <f>($B$5*B7)/($B$5+B28)</f>
        <v>33.333333333333336</v>
      </c>
    </row>
    <row r="29" spans="1:4" x14ac:dyDescent="0.3">
      <c r="A29" s="60" t="s">
        <v>13</v>
      </c>
      <c r="B29" s="61">
        <f>(D28^(1/3)-1)*B6</f>
        <v>22.182979486854325</v>
      </c>
      <c r="C29" s="72" t="s">
        <v>1</v>
      </c>
      <c r="D29" s="40">
        <f>($B$6*D28)/($B$6+B29)</f>
        <v>10.357441686512866</v>
      </c>
    </row>
    <row r="30" spans="1:4" ht="15" thickBot="1" x14ac:dyDescent="0.35">
      <c r="A30" s="60" t="s">
        <v>14</v>
      </c>
      <c r="B30" s="61">
        <f>($D$28^(1/3)-1)*$B$6</f>
        <v>22.182979486854325</v>
      </c>
      <c r="C30" s="72" t="s">
        <v>1</v>
      </c>
      <c r="D30" s="40">
        <f>($B$6*D29)/($B$6+B30)</f>
        <v>3.2182979486854335</v>
      </c>
    </row>
    <row r="31" spans="1:4" ht="15" thickBot="1" x14ac:dyDescent="0.35">
      <c r="A31" s="60" t="s">
        <v>15</v>
      </c>
      <c r="B31" s="66">
        <f>($D$28^(1/3)-1)*$B$6</f>
        <v>22.182979486854325</v>
      </c>
      <c r="C31" s="72" t="s">
        <v>1</v>
      </c>
      <c r="D31" s="69">
        <f>(D30*$B$6)/($B$6+B31)</f>
        <v>1.0000000000000004</v>
      </c>
    </row>
    <row r="32" spans="1:4" ht="15.6" thickTop="1" thickBot="1" x14ac:dyDescent="0.35">
      <c r="A32" s="62" t="s">
        <v>9</v>
      </c>
      <c r="B32" s="68">
        <f>IF(B28+B29+B30+B31&gt;B4,"Impossible : Volume d'eau claire insuffisant",B28+B29+B30+B31)</f>
        <v>126.54893846056297</v>
      </c>
      <c r="C32" s="72" t="s">
        <v>1</v>
      </c>
    </row>
    <row r="33" spans="1:4" ht="15" thickTop="1" x14ac:dyDescent="0.3">
      <c r="B33" s="40"/>
    </row>
    <row r="34" spans="1:4" x14ac:dyDescent="0.3">
      <c r="A34" s="58" t="s">
        <v>8</v>
      </c>
      <c r="B34" s="40"/>
    </row>
    <row r="35" spans="1:4" x14ac:dyDescent="0.3">
      <c r="A35" s="60" t="s">
        <v>12</v>
      </c>
      <c r="B35" s="61">
        <f>2*$B$5</f>
        <v>60</v>
      </c>
      <c r="C35" s="72" t="s">
        <v>1</v>
      </c>
      <c r="D35" s="40">
        <f>($B$5*B7)/($B$5+B35)</f>
        <v>33.333333333333336</v>
      </c>
    </row>
    <row r="36" spans="1:4" x14ac:dyDescent="0.3">
      <c r="A36" s="60" t="s">
        <v>13</v>
      </c>
      <c r="B36" s="61">
        <f>($D$35^(1/4)-1)*$B$6</f>
        <v>14.028114141347544</v>
      </c>
      <c r="C36" s="72" t="s">
        <v>1</v>
      </c>
      <c r="D36" s="40">
        <f>($B$6*D35)/($B$6+B36)</f>
        <v>13.872638167626059</v>
      </c>
    </row>
    <row r="37" spans="1:4" x14ac:dyDescent="0.3">
      <c r="A37" s="60" t="s">
        <v>14</v>
      </c>
      <c r="B37" s="61">
        <f>($D$35^(1/4)-1)*$B$6</f>
        <v>14.028114141347544</v>
      </c>
      <c r="C37" s="72" t="s">
        <v>1</v>
      </c>
      <c r="D37" s="40">
        <f t="shared" ref="D37:D39" si="0">($B$6*D36)/($B$6+B37)</f>
        <v>5.7735026918962582</v>
      </c>
    </row>
    <row r="38" spans="1:4" ht="15" thickBot="1" x14ac:dyDescent="0.35">
      <c r="A38" s="60" t="s">
        <v>15</v>
      </c>
      <c r="B38" s="61">
        <f>($D$35^(1/4)-1)*$B$6</f>
        <v>14.028114141347544</v>
      </c>
      <c r="C38" s="72" t="s">
        <v>1</v>
      </c>
      <c r="D38" s="40">
        <f t="shared" si="0"/>
        <v>2.4028114141347543</v>
      </c>
    </row>
    <row r="39" spans="1:4" ht="15" thickBot="1" x14ac:dyDescent="0.35">
      <c r="A39" s="60" t="s">
        <v>16</v>
      </c>
      <c r="B39" s="61">
        <f>($D$35^(1/4)-1)*$B$6</f>
        <v>14.028114141347544</v>
      </c>
      <c r="C39" s="72" t="s">
        <v>1</v>
      </c>
      <c r="D39" s="69">
        <f t="shared" si="0"/>
        <v>1</v>
      </c>
    </row>
    <row r="40" spans="1:4" ht="15.6" thickTop="1" thickBot="1" x14ac:dyDescent="0.35">
      <c r="A40" s="62" t="s">
        <v>9</v>
      </c>
      <c r="B40" s="68">
        <f>IF(B35+B36+B37+B38+B39&gt;B4,"Impossible : Volume d'eau claire insuffisant",B35+B36+B37+B38+B39)</f>
        <v>116.11245656539018</v>
      </c>
      <c r="C40" s="72" t="s">
        <v>1</v>
      </c>
    </row>
    <row r="41" spans="1:4" ht="15" thickTop="1" x14ac:dyDescent="0.3">
      <c r="B41" s="40"/>
    </row>
  </sheetData>
  <sheetProtection password="F76B" sheet="1" objects="1" scenarios="1"/>
  <mergeCells count="2">
    <mergeCell ref="A1:B1"/>
    <mergeCell ref="A10:B10"/>
  </mergeCells>
  <conditionalFormatting sqref="A10:B10">
    <cfRule type="containsText" dxfId="46" priority="5" operator="containsText" text="Erreur">
      <formula>NOT(ISERROR(SEARCH("Erreur",A10)))</formula>
    </cfRule>
  </conditionalFormatting>
  <conditionalFormatting sqref="B14">
    <cfRule type="containsText" dxfId="45" priority="4" operator="containsText" text="Impossible">
      <formula>NOT(ISERROR(SEARCH("Impossible",B14)))</formula>
    </cfRule>
  </conditionalFormatting>
  <conditionalFormatting sqref="B18">
    <cfRule type="containsText" dxfId="44" priority="3" operator="containsText" text="Impossible">
      <formula>NOT(ISERROR(SEARCH("Impossible",B18)))</formula>
    </cfRule>
  </conditionalFormatting>
  <conditionalFormatting sqref="B1:B1048576">
    <cfRule type="containsText" dxfId="43" priority="2" operator="containsText" text="Impossible">
      <formula>NOT(ISERROR(SEARCH("Impossible",B1)))</formula>
    </cfRule>
  </conditionalFormatting>
  <conditionalFormatting sqref="B39">
    <cfRule type="containsText" dxfId="42" priority="1" operator="containsText" text="Impossible">
      <formula>NOT(ISERROR(SEARCH("Impossible",B39)))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8CB63FE2-F33C-48BB-8399-6553DAD08B2C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workbookViewId="0">
      <selection activeCell="D2" sqref="D2"/>
    </sheetView>
  </sheetViews>
  <sheetFormatPr baseColWidth="10" defaultColWidth="11.44140625" defaultRowHeight="14.4" x14ac:dyDescent="0.3"/>
  <cols>
    <col min="1" max="1" width="56.88671875" style="38" customWidth="1"/>
    <col min="2" max="2" width="42" style="38" customWidth="1"/>
    <col min="3" max="3" width="11.44140625" style="72"/>
    <col min="4" max="4" width="48.5546875" style="38" customWidth="1"/>
    <col min="5" max="16384" width="11.44140625" style="38"/>
  </cols>
  <sheetData>
    <row r="1" spans="1:4" x14ac:dyDescent="0.3">
      <c r="A1" s="94" t="s">
        <v>50</v>
      </c>
      <c r="B1" s="94"/>
    </row>
    <row r="3" spans="1:4" x14ac:dyDescent="0.3">
      <c r="A3" s="54" t="s">
        <v>0</v>
      </c>
      <c r="B3" s="40"/>
    </row>
    <row r="4" spans="1:4" x14ac:dyDescent="0.3">
      <c r="A4" s="38" t="s">
        <v>18</v>
      </c>
      <c r="B4" s="39">
        <f>'Optimalisation - Choix méthode'!B1</f>
        <v>500</v>
      </c>
    </row>
    <row r="5" spans="1:4" x14ac:dyDescent="0.3">
      <c r="A5" s="38" t="s">
        <v>24</v>
      </c>
      <c r="B5" s="39">
        <f>'Optimalisation - Choix méthode'!B2</f>
        <v>30</v>
      </c>
    </row>
    <row r="6" spans="1:4" x14ac:dyDescent="0.3">
      <c r="A6" s="38" t="s">
        <v>26</v>
      </c>
      <c r="B6" s="39">
        <f>'Optimalisation - Choix méthode'!B3</f>
        <v>10</v>
      </c>
    </row>
    <row r="7" spans="1:4" x14ac:dyDescent="0.3">
      <c r="A7" s="56" t="s">
        <v>58</v>
      </c>
      <c r="B7" s="57">
        <v>100</v>
      </c>
    </row>
    <row r="8" spans="1:4" x14ac:dyDescent="0.3">
      <c r="B8" s="40"/>
    </row>
    <row r="9" spans="1:4" x14ac:dyDescent="0.3">
      <c r="A9" s="38" t="s">
        <v>25</v>
      </c>
      <c r="B9" s="40"/>
    </row>
    <row r="10" spans="1:4" x14ac:dyDescent="0.3">
      <c r="A10" s="93" t="str">
        <f>IF(B5&lt;B6,"Erreur - le Fond de cuve initial ne peut être inférieur au volume résiduel","/")</f>
        <v>/</v>
      </c>
      <c r="B10" s="93"/>
    </row>
    <row r="11" spans="1:4" x14ac:dyDescent="0.3">
      <c r="A11" s="73"/>
      <c r="B11" s="73"/>
    </row>
    <row r="12" spans="1:4" x14ac:dyDescent="0.3">
      <c r="A12" s="58" t="s">
        <v>10</v>
      </c>
      <c r="B12" s="40"/>
      <c r="D12" s="59" t="s">
        <v>61</v>
      </c>
    </row>
    <row r="13" spans="1:4" ht="15" thickBot="1" x14ac:dyDescent="0.35">
      <c r="A13" s="60" t="s">
        <v>12</v>
      </c>
      <c r="B13" s="61">
        <f>99*B5</f>
        <v>2970</v>
      </c>
    </row>
    <row r="14" spans="1:4" ht="15.6" thickTop="1" thickBot="1" x14ac:dyDescent="0.35">
      <c r="A14" s="62" t="s">
        <v>9</v>
      </c>
      <c r="B14" s="68" t="str">
        <f>IF(B13&gt;B4,"Impossible : Volume d'eau claire insuffisant",B13)</f>
        <v>Impossible : Volume d'eau claire insuffisant</v>
      </c>
      <c r="C14" s="74" t="s">
        <v>1</v>
      </c>
      <c r="D14" s="64" t="e">
        <f>(B7/(B5+B14))*B5</f>
        <v>#VALUE!</v>
      </c>
    </row>
    <row r="15" spans="1:4" ht="15" thickTop="1" x14ac:dyDescent="0.3">
      <c r="B15" s="51"/>
    </row>
    <row r="16" spans="1:4" x14ac:dyDescent="0.3">
      <c r="A16" s="58" t="s">
        <v>2</v>
      </c>
      <c r="B16" s="40"/>
    </row>
    <row r="17" spans="1:4" ht="15" thickBot="1" x14ac:dyDescent="0.35">
      <c r="A17" s="60" t="s">
        <v>12</v>
      </c>
      <c r="B17" s="61">
        <f>3*$B$5</f>
        <v>90</v>
      </c>
      <c r="C17" s="72" t="s">
        <v>1</v>
      </c>
      <c r="D17" s="40">
        <f>((B7*B5)/(B5+B17))</f>
        <v>25</v>
      </c>
    </row>
    <row r="18" spans="1:4" ht="15" thickBot="1" x14ac:dyDescent="0.35">
      <c r="A18" s="60" t="s">
        <v>13</v>
      </c>
      <c r="B18" s="61">
        <f>((D17-1)*B6)</f>
        <v>240</v>
      </c>
      <c r="C18" s="72" t="s">
        <v>1</v>
      </c>
      <c r="D18" s="67">
        <f>(D17*B6)/(B6+B18)</f>
        <v>1</v>
      </c>
    </row>
    <row r="19" spans="1:4" ht="15.6" thickTop="1" thickBot="1" x14ac:dyDescent="0.35">
      <c r="A19" s="62" t="s">
        <v>9</v>
      </c>
      <c r="B19" s="68">
        <f>IF(B17+B18&gt;B4,"Impossible : Volume d'eau claire insuffisant",B17+B18)</f>
        <v>330</v>
      </c>
      <c r="C19" s="72" t="s">
        <v>1</v>
      </c>
    </row>
    <row r="20" spans="1:4" ht="15" thickTop="1" x14ac:dyDescent="0.3">
      <c r="B20" s="51"/>
    </row>
    <row r="21" spans="1:4" x14ac:dyDescent="0.3">
      <c r="A21" s="58" t="s">
        <v>4</v>
      </c>
      <c r="B21" s="51"/>
    </row>
    <row r="22" spans="1:4" x14ac:dyDescent="0.3">
      <c r="A22" s="60" t="s">
        <v>12</v>
      </c>
      <c r="B22" s="61">
        <f>3*$B$5</f>
        <v>90</v>
      </c>
      <c r="C22" s="72" t="s">
        <v>1</v>
      </c>
      <c r="D22" s="40">
        <f>(B5*B7)/(B5+B22)</f>
        <v>25</v>
      </c>
    </row>
    <row r="23" spans="1:4" ht="15" thickBot="1" x14ac:dyDescent="0.35">
      <c r="A23" s="60" t="s">
        <v>13</v>
      </c>
      <c r="B23" s="61">
        <f>(D22^(1/2)-1)*$B$6</f>
        <v>40</v>
      </c>
      <c r="C23" s="72" t="s">
        <v>1</v>
      </c>
      <c r="D23" s="40">
        <f>((D22*B6)/(B6+B23))</f>
        <v>5</v>
      </c>
    </row>
    <row r="24" spans="1:4" ht="15" thickBot="1" x14ac:dyDescent="0.35">
      <c r="A24" s="60" t="s">
        <v>14</v>
      </c>
      <c r="B24" s="61">
        <f>(D22^(1/2)-1)*$B$6</f>
        <v>40</v>
      </c>
      <c r="C24" s="72" t="s">
        <v>1</v>
      </c>
      <c r="D24" s="69">
        <f>((D23*B6)/(B6+B24))</f>
        <v>1</v>
      </c>
    </row>
    <row r="25" spans="1:4" ht="15.6" thickTop="1" thickBot="1" x14ac:dyDescent="0.35">
      <c r="A25" s="62" t="s">
        <v>9</v>
      </c>
      <c r="B25" s="68">
        <f>IF(B22+B23+B24&gt;B4,"Impossible : Volume d'eau claire insuffisant",B22+B23+B24)</f>
        <v>170</v>
      </c>
      <c r="C25" s="72" t="s">
        <v>1</v>
      </c>
      <c r="D25" s="70"/>
    </row>
    <row r="26" spans="1:4" ht="15" thickTop="1" x14ac:dyDescent="0.3">
      <c r="B26" s="51"/>
    </row>
    <row r="27" spans="1:4" x14ac:dyDescent="0.3">
      <c r="A27" s="58" t="s">
        <v>3</v>
      </c>
      <c r="B27" s="51"/>
    </row>
    <row r="28" spans="1:4" x14ac:dyDescent="0.3">
      <c r="A28" s="60" t="s">
        <v>12</v>
      </c>
      <c r="B28" s="61">
        <f>3*$B$5</f>
        <v>90</v>
      </c>
      <c r="C28" s="72" t="s">
        <v>1</v>
      </c>
      <c r="D28" s="40">
        <f>($B$5*B7)/($B$5+B28)</f>
        <v>25</v>
      </c>
    </row>
    <row r="29" spans="1:4" x14ac:dyDescent="0.3">
      <c r="A29" s="60" t="s">
        <v>13</v>
      </c>
      <c r="B29" s="61">
        <f>($D$28^(1/3)-1)*$B$6</f>
        <v>19.240177382128657</v>
      </c>
      <c r="C29" s="72" t="s">
        <v>1</v>
      </c>
      <c r="D29" s="40">
        <f>($B$6*D28)/($B$6+B29)</f>
        <v>8.5498797333834862</v>
      </c>
    </row>
    <row r="30" spans="1:4" ht="15" thickBot="1" x14ac:dyDescent="0.35">
      <c r="A30" s="60" t="s">
        <v>14</v>
      </c>
      <c r="B30" s="61">
        <f>($D$28^(1/3)-1)*$B$6</f>
        <v>19.240177382128657</v>
      </c>
      <c r="C30" s="72" t="s">
        <v>1</v>
      </c>
      <c r="D30" s="40">
        <f>($B$6*D29)/($B$6+B30)</f>
        <v>2.9240177382128669</v>
      </c>
    </row>
    <row r="31" spans="1:4" ht="15" thickBot="1" x14ac:dyDescent="0.35">
      <c r="A31" s="60" t="s">
        <v>15</v>
      </c>
      <c r="B31" s="61">
        <f>($D$28^(1/3)-1)*$B$6</f>
        <v>19.240177382128657</v>
      </c>
      <c r="C31" s="72" t="s">
        <v>1</v>
      </c>
      <c r="D31" s="69">
        <f>(D30*$B$6)/($B$6+B31)</f>
        <v>1.0000000000000004</v>
      </c>
    </row>
    <row r="32" spans="1:4" ht="15.6" thickTop="1" thickBot="1" x14ac:dyDescent="0.35">
      <c r="A32" s="62" t="s">
        <v>9</v>
      </c>
      <c r="B32" s="68">
        <f>IF(B28+B29+B30+B31&gt;B4,"Impossible : Volume d'eau claire insuffisant",B28+B29+B30+B31)</f>
        <v>147.72053214638595</v>
      </c>
      <c r="C32" s="72" t="s">
        <v>1</v>
      </c>
    </row>
    <row r="33" spans="1:4" ht="15" thickTop="1" x14ac:dyDescent="0.3">
      <c r="B33" s="40"/>
    </row>
    <row r="34" spans="1:4" x14ac:dyDescent="0.3">
      <c r="A34" s="58" t="s">
        <v>8</v>
      </c>
      <c r="B34" s="40"/>
    </row>
    <row r="35" spans="1:4" x14ac:dyDescent="0.3">
      <c r="A35" s="60" t="s">
        <v>12</v>
      </c>
      <c r="B35" s="61">
        <f>3*$B$5</f>
        <v>90</v>
      </c>
      <c r="C35" s="72" t="s">
        <v>1</v>
      </c>
      <c r="D35" s="40">
        <f>($B$5*B7)/($B$5+B35)</f>
        <v>25</v>
      </c>
    </row>
    <row r="36" spans="1:4" x14ac:dyDescent="0.3">
      <c r="A36" s="60" t="s">
        <v>13</v>
      </c>
      <c r="B36" s="61">
        <f>($D$35^(1/4)-1)*$B$6</f>
        <v>12.360679774997898</v>
      </c>
      <c r="C36" s="72" t="s">
        <v>1</v>
      </c>
      <c r="D36" s="40">
        <f>($B$6*D35)/($B$6+B36)</f>
        <v>11.180339887498947</v>
      </c>
    </row>
    <row r="37" spans="1:4" x14ac:dyDescent="0.3">
      <c r="A37" s="60" t="s">
        <v>14</v>
      </c>
      <c r="B37" s="61">
        <f>($D$35^(1/4)-1)*$B$6</f>
        <v>12.360679774997898</v>
      </c>
      <c r="C37" s="72" t="s">
        <v>1</v>
      </c>
      <c r="D37" s="40">
        <f t="shared" ref="D37:D39" si="0">($B$6*D36)/($B$6+B37)</f>
        <v>4.9999999999999991</v>
      </c>
    </row>
    <row r="38" spans="1:4" ht="15" thickBot="1" x14ac:dyDescent="0.35">
      <c r="A38" s="60" t="s">
        <v>15</v>
      </c>
      <c r="B38" s="61">
        <f>($D$35^(1/4)-1)*$B$6</f>
        <v>12.360679774997898</v>
      </c>
      <c r="C38" s="72" t="s">
        <v>1</v>
      </c>
      <c r="D38" s="40">
        <f t="shared" si="0"/>
        <v>2.2360679774997894</v>
      </c>
    </row>
    <row r="39" spans="1:4" ht="15" thickBot="1" x14ac:dyDescent="0.35">
      <c r="A39" s="60" t="s">
        <v>16</v>
      </c>
      <c r="B39" s="61">
        <f>($D$35^(1/4)-1)*$B$6</f>
        <v>12.360679774997898</v>
      </c>
      <c r="C39" s="72" t="s">
        <v>1</v>
      </c>
      <c r="D39" s="69">
        <f t="shared" si="0"/>
        <v>0.99999999999999989</v>
      </c>
    </row>
    <row r="40" spans="1:4" ht="15.6" thickTop="1" thickBot="1" x14ac:dyDescent="0.35">
      <c r="A40" s="62" t="s">
        <v>9</v>
      </c>
      <c r="B40" s="68">
        <f>IF(B35+B36+B37+B38+B39&gt;B4,"Impossible : Volume d'eau claire insuffisant",B35+B36+B37+B38+B39)</f>
        <v>139.44271909999156</v>
      </c>
      <c r="C40" s="72" t="s">
        <v>1</v>
      </c>
    </row>
    <row r="41" spans="1:4" ht="15" thickTop="1" x14ac:dyDescent="0.3">
      <c r="B41" s="40"/>
    </row>
  </sheetData>
  <sheetProtection password="F76B" sheet="1" objects="1" scenarios="1"/>
  <mergeCells count="2">
    <mergeCell ref="A10:B10"/>
    <mergeCell ref="A1:B1"/>
  </mergeCells>
  <conditionalFormatting sqref="A10:B11">
    <cfRule type="containsText" dxfId="40" priority="2" operator="containsText" text="Erreur">
      <formula>NOT(ISERROR(SEARCH("Erreur",A10)))</formula>
    </cfRule>
  </conditionalFormatting>
  <conditionalFormatting sqref="B1:B1048576">
    <cfRule type="containsText" dxfId="39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C83D44F-A8E3-4094-9E8C-63465AF0DA98}">
            <xm:f>NOT(ISERROR(SEARCH($A$8,A10)))</xm:f>
            <xm:f>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1"/>
  <sheetViews>
    <sheetView topLeftCell="A5" workbookViewId="0">
      <selection activeCell="D2" sqref="D2"/>
    </sheetView>
  </sheetViews>
  <sheetFormatPr baseColWidth="10" defaultColWidth="11.44140625" defaultRowHeight="14.4" x14ac:dyDescent="0.3"/>
  <cols>
    <col min="1" max="1" width="57.6640625" style="38" customWidth="1"/>
    <col min="2" max="2" width="42" style="38" customWidth="1"/>
    <col min="3" max="3" width="11.44140625" style="72"/>
    <col min="4" max="4" width="46.33203125" style="38" customWidth="1"/>
    <col min="5" max="16384" width="11.44140625" style="38"/>
  </cols>
  <sheetData>
    <row r="1" spans="1:4" x14ac:dyDescent="0.3">
      <c r="A1" s="94" t="s">
        <v>51</v>
      </c>
      <c r="B1" s="94"/>
    </row>
    <row r="3" spans="1:4" x14ac:dyDescent="0.3">
      <c r="A3" s="54" t="s">
        <v>0</v>
      </c>
      <c r="B3" s="40"/>
    </row>
    <row r="4" spans="1:4" x14ac:dyDescent="0.3">
      <c r="A4" s="38" t="s">
        <v>18</v>
      </c>
      <c r="B4" s="39">
        <f>'Optimalisation - Choix méthode'!B1</f>
        <v>500</v>
      </c>
    </row>
    <row r="5" spans="1:4" x14ac:dyDescent="0.3">
      <c r="A5" s="38" t="s">
        <v>24</v>
      </c>
      <c r="B5" s="39">
        <f>'Optimalisation - Choix méthode'!B2</f>
        <v>30</v>
      </c>
    </row>
    <row r="6" spans="1:4" x14ac:dyDescent="0.3">
      <c r="A6" s="38" t="s">
        <v>26</v>
      </c>
      <c r="B6" s="39">
        <f>'Optimalisation - Choix méthode'!B3</f>
        <v>10</v>
      </c>
    </row>
    <row r="7" spans="1:4" x14ac:dyDescent="0.3">
      <c r="A7" s="56" t="s">
        <v>58</v>
      </c>
      <c r="B7" s="57">
        <v>100</v>
      </c>
    </row>
    <row r="8" spans="1:4" x14ac:dyDescent="0.3">
      <c r="B8" s="40"/>
    </row>
    <row r="9" spans="1:4" x14ac:dyDescent="0.3">
      <c r="A9" s="38" t="s">
        <v>25</v>
      </c>
      <c r="B9" s="40"/>
    </row>
    <row r="10" spans="1:4" x14ac:dyDescent="0.3">
      <c r="A10" s="93" t="str">
        <f>IF(B5&lt;B6,"Erreur - le Fond de cuve initial ne peut être inférieur au volume résiduel","/")</f>
        <v>/</v>
      </c>
      <c r="B10" s="93"/>
    </row>
    <row r="11" spans="1:4" x14ac:dyDescent="0.3">
      <c r="A11" s="73"/>
      <c r="B11" s="73"/>
    </row>
    <row r="12" spans="1:4" x14ac:dyDescent="0.3">
      <c r="A12" s="58" t="s">
        <v>10</v>
      </c>
      <c r="B12" s="40"/>
      <c r="D12" s="59" t="s">
        <v>61</v>
      </c>
    </row>
    <row r="13" spans="1:4" ht="15" thickBot="1" x14ac:dyDescent="0.35">
      <c r="A13" s="60" t="s">
        <v>12</v>
      </c>
      <c r="B13" s="61">
        <f>99*B5</f>
        <v>2970</v>
      </c>
    </row>
    <row r="14" spans="1:4" ht="15.6" thickTop="1" thickBot="1" x14ac:dyDescent="0.35">
      <c r="A14" s="62" t="s">
        <v>9</v>
      </c>
      <c r="B14" s="68" t="str">
        <f>IF(B13&gt;B4,"Impossible : Volume d'eau claire insuffisant",B13)</f>
        <v>Impossible : Volume d'eau claire insuffisant</v>
      </c>
      <c r="C14" s="74" t="s">
        <v>1</v>
      </c>
      <c r="D14" s="64" t="e">
        <f>(B7/(B5+B14))*B5</f>
        <v>#VALUE!</v>
      </c>
    </row>
    <row r="15" spans="1:4" ht="15" thickTop="1" x14ac:dyDescent="0.3">
      <c r="B15" s="51"/>
    </row>
    <row r="16" spans="1:4" x14ac:dyDescent="0.3">
      <c r="A16" s="58" t="s">
        <v>2</v>
      </c>
      <c r="B16" s="40"/>
    </row>
    <row r="17" spans="1:4" ht="15" thickBot="1" x14ac:dyDescent="0.35">
      <c r="A17" s="60" t="s">
        <v>12</v>
      </c>
      <c r="B17" s="61">
        <f>4*$B$5</f>
        <v>120</v>
      </c>
      <c r="C17" s="72" t="s">
        <v>1</v>
      </c>
      <c r="D17" s="40">
        <f>((B7*B5)/(B5+B17))</f>
        <v>20</v>
      </c>
    </row>
    <row r="18" spans="1:4" ht="15" thickBot="1" x14ac:dyDescent="0.35">
      <c r="A18" s="60" t="s">
        <v>13</v>
      </c>
      <c r="B18" s="61">
        <f>(D17-1)*B6</f>
        <v>190</v>
      </c>
      <c r="C18" s="72" t="s">
        <v>1</v>
      </c>
      <c r="D18" s="67">
        <f>(D17/(B18+B6))*B6</f>
        <v>1</v>
      </c>
    </row>
    <row r="19" spans="1:4" ht="15.6" thickTop="1" thickBot="1" x14ac:dyDescent="0.35">
      <c r="A19" s="62" t="s">
        <v>9</v>
      </c>
      <c r="B19" s="68">
        <f>IF(B17+B18&gt;B4,"Impossible : Volume d'eau claire insuffisant",B17+B18)</f>
        <v>310</v>
      </c>
      <c r="C19" s="72" t="s">
        <v>1</v>
      </c>
    </row>
    <row r="20" spans="1:4" ht="15" thickTop="1" x14ac:dyDescent="0.3">
      <c r="B20" s="51"/>
    </row>
    <row r="21" spans="1:4" x14ac:dyDescent="0.3">
      <c r="A21" s="58" t="s">
        <v>4</v>
      </c>
      <c r="B21" s="51"/>
    </row>
    <row r="22" spans="1:4" x14ac:dyDescent="0.3">
      <c r="A22" s="60" t="s">
        <v>12</v>
      </c>
      <c r="B22" s="61">
        <f>4*$B$5</f>
        <v>120</v>
      </c>
      <c r="C22" s="72" t="s">
        <v>1</v>
      </c>
      <c r="D22" s="40">
        <f>(B5*B7)/(B5+B22)</f>
        <v>20</v>
      </c>
    </row>
    <row r="23" spans="1:4" ht="15" thickBot="1" x14ac:dyDescent="0.35">
      <c r="A23" s="60" t="s">
        <v>13</v>
      </c>
      <c r="B23" s="61">
        <f>($D$22^(1/2)-1)*$B$6</f>
        <v>34.721359549995796</v>
      </c>
      <c r="C23" s="72" t="s">
        <v>1</v>
      </c>
      <c r="D23" s="40">
        <f>((D22*B6)/(B6+B23))</f>
        <v>4.4721359549995796</v>
      </c>
    </row>
    <row r="24" spans="1:4" ht="15" thickBot="1" x14ac:dyDescent="0.35">
      <c r="A24" s="60" t="s">
        <v>14</v>
      </c>
      <c r="B24" s="61">
        <f>($D$22^(1/2)-1)*$B$6</f>
        <v>34.721359549995796</v>
      </c>
      <c r="C24" s="72" t="s">
        <v>1</v>
      </c>
      <c r="D24" s="69">
        <f>((D23*B6)/(B6+B24))</f>
        <v>1</v>
      </c>
    </row>
    <row r="25" spans="1:4" ht="15.6" thickTop="1" thickBot="1" x14ac:dyDescent="0.35">
      <c r="A25" s="62" t="s">
        <v>9</v>
      </c>
      <c r="B25" s="68">
        <f>IF(B22+B23+B24&gt;B4,"Impossible : Volume d'eau claire insuffisant",B22+B23+B24)</f>
        <v>189.44271909999156</v>
      </c>
      <c r="C25" s="72" t="s">
        <v>1</v>
      </c>
      <c r="D25" s="70"/>
    </row>
    <row r="26" spans="1:4" ht="15" thickTop="1" x14ac:dyDescent="0.3">
      <c r="B26" s="51"/>
    </row>
    <row r="27" spans="1:4" x14ac:dyDescent="0.3">
      <c r="A27" s="58" t="s">
        <v>3</v>
      </c>
      <c r="B27" s="51"/>
    </row>
    <row r="28" spans="1:4" x14ac:dyDescent="0.3">
      <c r="A28" s="60" t="s">
        <v>12</v>
      </c>
      <c r="B28" s="61">
        <f>4*$B$5</f>
        <v>120</v>
      </c>
      <c r="C28" s="72" t="s">
        <v>1</v>
      </c>
      <c r="D28" s="40">
        <f>($B$5*B7)/($B$5+B28)</f>
        <v>20</v>
      </c>
    </row>
    <row r="29" spans="1:4" x14ac:dyDescent="0.3">
      <c r="A29" s="60" t="s">
        <v>13</v>
      </c>
      <c r="B29" s="61">
        <f>($D$28^(1/3)-1)*$B$6</f>
        <v>17.144176165949062</v>
      </c>
      <c r="C29" s="72" t="s">
        <v>1</v>
      </c>
      <c r="D29" s="40">
        <f>($B$6*D28)/($B$6+B29)</f>
        <v>7.3680629972807745</v>
      </c>
    </row>
    <row r="30" spans="1:4" ht="15" thickBot="1" x14ac:dyDescent="0.35">
      <c r="A30" s="60" t="s">
        <v>14</v>
      </c>
      <c r="B30" s="61">
        <f>($D$28^(1/3)-1)*$B$6</f>
        <v>17.144176165949062</v>
      </c>
      <c r="C30" s="72" t="s">
        <v>1</v>
      </c>
      <c r="D30" s="40">
        <f>($B$6*D29)/($B$6+B30)</f>
        <v>2.7144176165949077</v>
      </c>
    </row>
    <row r="31" spans="1:4" ht="15" thickBot="1" x14ac:dyDescent="0.35">
      <c r="A31" s="60" t="s">
        <v>15</v>
      </c>
      <c r="B31" s="61">
        <f>($D$28^(1/3)-1)*$B$6</f>
        <v>17.144176165949062</v>
      </c>
      <c r="C31" s="72" t="s">
        <v>1</v>
      </c>
      <c r="D31" s="69">
        <f>(D30*$B$6)/($B$6+B31)</f>
        <v>1.0000000000000004</v>
      </c>
    </row>
    <row r="32" spans="1:4" ht="15.6" thickTop="1" thickBot="1" x14ac:dyDescent="0.35">
      <c r="A32" s="62" t="s">
        <v>9</v>
      </c>
      <c r="B32" s="68">
        <f>IF(B28+B29+B30+B31&gt;B4,"Impossible : Volume d'eauc laire insuffisant",B28+B29+B30+B31)</f>
        <v>171.43252849784719</v>
      </c>
      <c r="C32" s="72" t="s">
        <v>1</v>
      </c>
    </row>
    <row r="33" spans="1:4" ht="15" thickTop="1" x14ac:dyDescent="0.3">
      <c r="B33" s="40"/>
    </row>
    <row r="34" spans="1:4" x14ac:dyDescent="0.3">
      <c r="A34" s="58" t="s">
        <v>8</v>
      </c>
      <c r="B34" s="40"/>
    </row>
    <row r="35" spans="1:4" x14ac:dyDescent="0.3">
      <c r="A35" s="60" t="s">
        <v>12</v>
      </c>
      <c r="B35" s="61">
        <f>4*$B$5</f>
        <v>120</v>
      </c>
      <c r="C35" s="72" t="s">
        <v>1</v>
      </c>
      <c r="D35" s="40">
        <f>($B$5*B7)/($B$5+B35)</f>
        <v>20</v>
      </c>
    </row>
    <row r="36" spans="1:4" x14ac:dyDescent="0.3">
      <c r="A36" s="60" t="s">
        <v>13</v>
      </c>
      <c r="B36" s="61">
        <f>($D$35^(1/4)-1)*$B$6</f>
        <v>11.147425268811283</v>
      </c>
      <c r="C36" s="72" t="s">
        <v>1</v>
      </c>
      <c r="D36" s="40">
        <f>($B$6*D35)/($B$6+B36)</f>
        <v>9.4574160900317583</v>
      </c>
    </row>
    <row r="37" spans="1:4" x14ac:dyDescent="0.3">
      <c r="A37" s="60" t="s">
        <v>14</v>
      </c>
      <c r="B37" s="61">
        <f>($D$35^(1/4)-1)*$B$6</f>
        <v>11.147425268811283</v>
      </c>
      <c r="C37" s="72" t="s">
        <v>1</v>
      </c>
      <c r="D37" s="40">
        <f t="shared" ref="D37:D39" si="0">($B$6*D36)/($B$6+B37)</f>
        <v>4.4721359549995796</v>
      </c>
    </row>
    <row r="38" spans="1:4" ht="15" thickBot="1" x14ac:dyDescent="0.35">
      <c r="A38" s="60" t="s">
        <v>15</v>
      </c>
      <c r="B38" s="61">
        <f>($D$35^(1/4)-1)*$B$6</f>
        <v>11.147425268811283</v>
      </c>
      <c r="C38" s="72" t="s">
        <v>1</v>
      </c>
      <c r="D38" s="40">
        <f t="shared" si="0"/>
        <v>2.1147425268811282</v>
      </c>
    </row>
    <row r="39" spans="1:4" ht="15" thickBot="1" x14ac:dyDescent="0.35">
      <c r="A39" s="60" t="s">
        <v>16</v>
      </c>
      <c r="B39" s="61">
        <f>($D$35^(1/4)-1)*$B$6</f>
        <v>11.147425268811283</v>
      </c>
      <c r="C39" s="72" t="s">
        <v>1</v>
      </c>
      <c r="D39" s="69">
        <f t="shared" si="0"/>
        <v>1</v>
      </c>
    </row>
    <row r="40" spans="1:4" ht="15.6" thickTop="1" thickBot="1" x14ac:dyDescent="0.35">
      <c r="A40" s="62" t="s">
        <v>9</v>
      </c>
      <c r="B40" s="68">
        <f>IF(B35+B36+B37+B38+B39&gt;B4,"Impossible : Volume d'eau claire insuffisant",B35+B36+B37+B38+B39)</f>
        <v>164.5897010752451</v>
      </c>
      <c r="C40" s="72" t="s">
        <v>1</v>
      </c>
    </row>
    <row r="41" spans="1:4" ht="15" thickTop="1" x14ac:dyDescent="0.3">
      <c r="B41" s="40"/>
    </row>
  </sheetData>
  <sheetProtection password="F76B" sheet="1" objects="1" scenarios="1"/>
  <mergeCells count="2">
    <mergeCell ref="A1:B1"/>
    <mergeCell ref="A10:B10"/>
  </mergeCells>
  <conditionalFormatting sqref="A10:B11">
    <cfRule type="containsText" dxfId="37" priority="2" operator="containsText" text="Erreur">
      <formula>NOT(ISERROR(SEARCH("Erreur",A10)))</formula>
    </cfRule>
  </conditionalFormatting>
  <conditionalFormatting sqref="B1:B1048576">
    <cfRule type="containsText" dxfId="36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FED3FBDE-B3DB-4CA0-AEA5-2C9EB3EC34CB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1"/>
  <sheetViews>
    <sheetView topLeftCell="A5" workbookViewId="0">
      <selection activeCell="D2" sqref="D2"/>
    </sheetView>
  </sheetViews>
  <sheetFormatPr baseColWidth="10" defaultRowHeight="14.4" x14ac:dyDescent="0.3"/>
  <cols>
    <col min="1" max="1" width="57.6640625" customWidth="1"/>
    <col min="2" max="2" width="42" customWidth="1"/>
    <col min="3" max="3" width="11.44140625" style="19"/>
    <col min="4" max="4" width="47.6640625" customWidth="1"/>
  </cols>
  <sheetData>
    <row r="1" spans="1:4" x14ac:dyDescent="0.3">
      <c r="A1" s="91" t="s">
        <v>52</v>
      </c>
      <c r="B1" s="91"/>
    </row>
    <row r="2" spans="1:4" x14ac:dyDescent="0.3">
      <c r="A2" s="29"/>
      <c r="B2" s="29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1" spans="1:4" x14ac:dyDescent="0.3">
      <c r="A11" s="30"/>
      <c r="B11" s="30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32" t="str">
        <f>IF(B13&gt;B4,"Impossible : Volume d'eauc laire insuffisant",B13)</f>
        <v>Impossible : Volume d'eauc 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17">
        <f>(5*$B$5)</f>
        <v>150</v>
      </c>
      <c r="C17" s="19" t="s">
        <v>1</v>
      </c>
      <c r="D17" s="8">
        <f>((B7*B5)/(B5+B17))</f>
        <v>16.666666666666668</v>
      </c>
    </row>
    <row r="18" spans="1:4" ht="15" thickBot="1" x14ac:dyDescent="0.35">
      <c r="A18" s="16" t="s">
        <v>13</v>
      </c>
      <c r="B18" s="17">
        <f>(D17-1)*B6</f>
        <v>156.66666666666669</v>
      </c>
      <c r="C18" s="19" t="s">
        <v>1</v>
      </c>
      <c r="D18" s="12">
        <f>(D17/(B18+B6))*B6</f>
        <v>0.99999999999999989</v>
      </c>
    </row>
    <row r="19" spans="1:4" ht="15.6" thickTop="1" thickBot="1" x14ac:dyDescent="0.35">
      <c r="A19" s="18" t="s">
        <v>9</v>
      </c>
      <c r="B19" s="32">
        <f>IF(B17+B18&gt;B4,"Impossible : Volume d'eau claire insuffisant",B17+B18)</f>
        <v>306.66666666666669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17">
        <f>(5*$B$5)</f>
        <v>150</v>
      </c>
      <c r="C22" s="19" t="s">
        <v>1</v>
      </c>
      <c r="D22" s="8">
        <f>(B5*B7)/(B5+B22)</f>
        <v>16.666666666666668</v>
      </c>
    </row>
    <row r="23" spans="1:4" ht="15" thickBot="1" x14ac:dyDescent="0.35">
      <c r="A23" s="16" t="s">
        <v>13</v>
      </c>
      <c r="B23" s="17">
        <f>($D$22^(1/2)-1)*$B$6</f>
        <v>30.824829046386306</v>
      </c>
      <c r="C23" s="19" t="s">
        <v>1</v>
      </c>
      <c r="D23" s="8">
        <f>((D22*B6)/(B6+B23))</f>
        <v>4.0824829046386304</v>
      </c>
    </row>
    <row r="24" spans="1:4" ht="15" thickBot="1" x14ac:dyDescent="0.35">
      <c r="A24" s="16" t="s">
        <v>14</v>
      </c>
      <c r="B24" s="17">
        <f>($D$22^(1/2)-1)*$B$6</f>
        <v>30.824829046386306</v>
      </c>
      <c r="C24" s="19" t="s">
        <v>1</v>
      </c>
      <c r="D24" s="14">
        <f>((D23*B6)/(B6+B23))</f>
        <v>1</v>
      </c>
    </row>
    <row r="25" spans="1:4" ht="15.6" thickTop="1" thickBot="1" x14ac:dyDescent="0.35">
      <c r="A25" s="18" t="s">
        <v>9</v>
      </c>
      <c r="B25" s="32">
        <f>IF(B22+B23+B24&gt;B4,"Impossible : Volume d'eau claire insuffisant",B22+B23+B24)</f>
        <v>211.6496580927726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17">
        <f>(5*$B$5)</f>
        <v>150</v>
      </c>
      <c r="C28" s="19" t="s">
        <v>1</v>
      </c>
      <c r="D28" s="8">
        <f>($B$5*B7)/($B$5+B28)</f>
        <v>16.666666666666668</v>
      </c>
    </row>
    <row r="29" spans="1:4" x14ac:dyDescent="0.3">
      <c r="A29" s="16" t="s">
        <v>13</v>
      </c>
      <c r="B29" s="17">
        <f>($D$28^(1/3)-1)*$B$6</f>
        <v>15.54364774645177</v>
      </c>
      <c r="C29" s="19" t="s">
        <v>1</v>
      </c>
      <c r="D29" s="8">
        <f>($B$6*D28)/($B$6+B29)</f>
        <v>6.5247794019481073</v>
      </c>
    </row>
    <row r="30" spans="1:4" ht="15" thickBot="1" x14ac:dyDescent="0.35">
      <c r="A30" s="16" t="s">
        <v>14</v>
      </c>
      <c r="B30" s="17">
        <f>($D$28^(1/3)-1)*$B$6</f>
        <v>15.54364774645177</v>
      </c>
      <c r="C30" s="19" t="s">
        <v>1</v>
      </c>
      <c r="D30" s="8">
        <f>($B$6*D29)/($B$6+B30)</f>
        <v>2.5543647746451779</v>
      </c>
    </row>
    <row r="31" spans="1:4" ht="15" thickBot="1" x14ac:dyDescent="0.35">
      <c r="A31" s="16" t="s">
        <v>15</v>
      </c>
      <c r="B31" s="17">
        <f>($D$28^(1/3)-1)*$B$6</f>
        <v>15.54364774645177</v>
      </c>
      <c r="C31" s="19" t="s">
        <v>1</v>
      </c>
      <c r="D31" s="14">
        <f>(D30*$B$6)/($B$6+B31)</f>
        <v>1.0000000000000004</v>
      </c>
    </row>
    <row r="32" spans="1:4" ht="15.6" thickTop="1" thickBot="1" x14ac:dyDescent="0.35">
      <c r="A32" s="18" t="s">
        <v>9</v>
      </c>
      <c r="B32" s="32">
        <f>IF(B28+B29+B30+B31&gt;B4,"Impossible : Volume d'eau claire insuffisant",B28+B29+B30+B31)</f>
        <v>196.6309432393553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17">
        <f>(5*$B$5)</f>
        <v>150</v>
      </c>
      <c r="C35" s="19" t="s">
        <v>1</v>
      </c>
      <c r="D35" s="8">
        <f>($B$5*B7)/($B$5+B35)</f>
        <v>16.666666666666668</v>
      </c>
    </row>
    <row r="36" spans="1:4" x14ac:dyDescent="0.3">
      <c r="A36" s="16" t="s">
        <v>13</v>
      </c>
      <c r="B36" s="17">
        <f>($D$35^(1/4)-1)*$B$6</f>
        <v>10.205155046766233</v>
      </c>
      <c r="C36" s="19" t="s">
        <v>1</v>
      </c>
      <c r="D36" s="8">
        <f>($B$6*D35)/($B$6+B36)</f>
        <v>8.2487200063996102</v>
      </c>
    </row>
    <row r="37" spans="1:4" x14ac:dyDescent="0.3">
      <c r="A37" s="16" t="s">
        <v>14</v>
      </c>
      <c r="B37" s="17">
        <f>($D$35^(1/4)-1)*$B$6</f>
        <v>10.205155046766233</v>
      </c>
      <c r="C37" s="19" t="s">
        <v>1</v>
      </c>
      <c r="D37" s="8">
        <f t="shared" ref="D37:D39" si="0">($B$6*D36)/($B$6+B37)</f>
        <v>4.0824829046386304</v>
      </c>
    </row>
    <row r="38" spans="1:4" ht="15" thickBot="1" x14ac:dyDescent="0.35">
      <c r="A38" s="16" t="s">
        <v>15</v>
      </c>
      <c r="B38" s="17">
        <f>($D$35^(1/4)-1)*$B$6</f>
        <v>10.205155046766233</v>
      </c>
      <c r="C38" s="19" t="s">
        <v>1</v>
      </c>
      <c r="D38" s="8">
        <f t="shared" si="0"/>
        <v>2.0205155046766237</v>
      </c>
    </row>
    <row r="39" spans="1:4" ht="15" thickBot="1" x14ac:dyDescent="0.35">
      <c r="A39" s="16" t="s">
        <v>16</v>
      </c>
      <c r="B39" s="17">
        <f>($D$35^(1/4)-1)*$B$6</f>
        <v>10.205155046766233</v>
      </c>
      <c r="C39" s="19" t="s">
        <v>1</v>
      </c>
      <c r="D39" s="14">
        <f t="shared" si="0"/>
        <v>1.0000000000000002</v>
      </c>
    </row>
    <row r="40" spans="1:4" ht="15.6" thickTop="1" thickBot="1" x14ac:dyDescent="0.35">
      <c r="A40" s="18" t="s">
        <v>9</v>
      </c>
      <c r="B40" s="32">
        <f>IF(B35+B36+B37+B38+B39&gt;B4,"Impossible : Volume d'eau claire insuffisant",B35+B36+B37+B38+B39)</f>
        <v>190.82062018706495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:B1"/>
    <mergeCell ref="A10:B10"/>
  </mergeCells>
  <conditionalFormatting sqref="A10:B11">
    <cfRule type="containsText" dxfId="34" priority="2" operator="containsText" text="Erreur">
      <formula>NOT(ISERROR(SEARCH("Erreur",A10)))</formula>
    </cfRule>
  </conditionalFormatting>
  <conditionalFormatting sqref="B1:B1048576">
    <cfRule type="containsText" dxfId="33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27FF621-AE20-4854-B744-AE5974C5C7C8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1"/>
  <sheetViews>
    <sheetView topLeftCell="A4" workbookViewId="0">
      <selection activeCell="D2" sqref="D2"/>
    </sheetView>
  </sheetViews>
  <sheetFormatPr baseColWidth="10" defaultRowHeight="14.4" x14ac:dyDescent="0.3"/>
  <cols>
    <col min="1" max="1" width="57.5546875" customWidth="1"/>
    <col min="2" max="2" width="42" customWidth="1"/>
    <col min="3" max="3" width="11.44140625" style="19"/>
    <col min="4" max="4" width="47.44140625" customWidth="1"/>
  </cols>
  <sheetData>
    <row r="1" spans="1:4" x14ac:dyDescent="0.3">
      <c r="A1" s="91" t="s">
        <v>53</v>
      </c>
      <c r="B1" s="91"/>
    </row>
    <row r="3" spans="1:4" x14ac:dyDescent="0.3">
      <c r="A3" s="3" t="s">
        <v>0</v>
      </c>
      <c r="B3" s="8"/>
    </row>
    <row r="4" spans="1:4" x14ac:dyDescent="0.3">
      <c r="A4" t="s">
        <v>18</v>
      </c>
      <c r="B4" s="9">
        <f>'Optimalisation - Choix méthode'!B1</f>
        <v>500</v>
      </c>
    </row>
    <row r="5" spans="1:4" x14ac:dyDescent="0.3">
      <c r="A5" t="s">
        <v>24</v>
      </c>
      <c r="B5" s="9">
        <f>'Optimalisation - Choix méthode'!B2</f>
        <v>30</v>
      </c>
    </row>
    <row r="6" spans="1:4" x14ac:dyDescent="0.3">
      <c r="A6" t="s">
        <v>26</v>
      </c>
      <c r="B6" s="9">
        <f>'Optimalisation - Choix méthode'!B3</f>
        <v>10</v>
      </c>
    </row>
    <row r="7" spans="1:4" x14ac:dyDescent="0.3">
      <c r="A7" s="7" t="s">
        <v>58</v>
      </c>
      <c r="B7" s="10">
        <v>100</v>
      </c>
    </row>
    <row r="8" spans="1:4" x14ac:dyDescent="0.3">
      <c r="B8" s="8"/>
    </row>
    <row r="9" spans="1:4" x14ac:dyDescent="0.3">
      <c r="A9" t="s">
        <v>25</v>
      </c>
      <c r="B9" s="8"/>
    </row>
    <row r="10" spans="1:4" x14ac:dyDescent="0.3">
      <c r="A10" s="92" t="str">
        <f>IF(B5&lt;B6,"Erreur - le Fond de cuve initial ne peut être inférieur au volume résiduel","/")</f>
        <v>/</v>
      </c>
      <c r="B10" s="92"/>
    </row>
    <row r="11" spans="1:4" x14ac:dyDescent="0.3">
      <c r="A11" s="30"/>
      <c r="B11" s="30"/>
    </row>
    <row r="12" spans="1:4" x14ac:dyDescent="0.3">
      <c r="A12" s="20" t="s">
        <v>10</v>
      </c>
      <c r="B12" s="8"/>
      <c r="D12" s="31" t="s">
        <v>61</v>
      </c>
    </row>
    <row r="13" spans="1:4" ht="15" thickBot="1" x14ac:dyDescent="0.35">
      <c r="A13" s="16" t="s">
        <v>12</v>
      </c>
      <c r="B13" s="17">
        <f>99*B5</f>
        <v>2970</v>
      </c>
    </row>
    <row r="14" spans="1:4" ht="15.6" thickTop="1" thickBot="1" x14ac:dyDescent="0.35">
      <c r="A14" s="18" t="s">
        <v>9</v>
      </c>
      <c r="B14" s="32" t="str">
        <f>IF(B13&gt;B4,"Impossible : Volume d'eau claire insuffisant",B13)</f>
        <v>Impossible : Volume d'eau claire insuffisant</v>
      </c>
      <c r="C14" s="23" t="s">
        <v>1</v>
      </c>
      <c r="D14" s="2">
        <f>(B7*B5)/(B13+B5)</f>
        <v>1</v>
      </c>
    </row>
    <row r="15" spans="1:4" ht="15" thickTop="1" x14ac:dyDescent="0.3">
      <c r="B15" s="11"/>
    </row>
    <row r="16" spans="1:4" x14ac:dyDescent="0.3">
      <c r="A16" s="20" t="s">
        <v>2</v>
      </c>
      <c r="B16" s="8"/>
    </row>
    <row r="17" spans="1:4" ht="15" thickBot="1" x14ac:dyDescent="0.35">
      <c r="A17" s="16" t="s">
        <v>12</v>
      </c>
      <c r="B17" s="17">
        <f>6*$B$5</f>
        <v>180</v>
      </c>
      <c r="C17" s="19" t="s">
        <v>1</v>
      </c>
      <c r="D17" s="8">
        <f>((B7*B5)/(B5+B17))</f>
        <v>14.285714285714286</v>
      </c>
    </row>
    <row r="18" spans="1:4" ht="15" thickBot="1" x14ac:dyDescent="0.35">
      <c r="A18" s="16" t="s">
        <v>13</v>
      </c>
      <c r="B18" s="17">
        <f>(D17-1)*B6</f>
        <v>132.85714285714286</v>
      </c>
      <c r="C18" s="19" t="s">
        <v>1</v>
      </c>
      <c r="D18" s="12">
        <f>(D17/(B18+B6))*B6</f>
        <v>1</v>
      </c>
    </row>
    <row r="19" spans="1:4" ht="15.6" thickTop="1" thickBot="1" x14ac:dyDescent="0.35">
      <c r="A19" s="18" t="s">
        <v>9</v>
      </c>
      <c r="B19" s="32">
        <f>IF(B17+B18&gt;B4,"Impossible : Volume d'eau claire insuffisant",B17+B18)</f>
        <v>312.85714285714289</v>
      </c>
      <c r="C19" s="19" t="s">
        <v>1</v>
      </c>
    </row>
    <row r="20" spans="1:4" ht="15" thickTop="1" x14ac:dyDescent="0.3">
      <c r="B20" s="11"/>
    </row>
    <row r="21" spans="1:4" x14ac:dyDescent="0.3">
      <c r="A21" s="20" t="s">
        <v>4</v>
      </c>
      <c r="B21" s="11"/>
    </row>
    <row r="22" spans="1:4" x14ac:dyDescent="0.3">
      <c r="A22" s="16" t="s">
        <v>12</v>
      </c>
      <c r="B22" s="17">
        <f>6*$B$5</f>
        <v>180</v>
      </c>
      <c r="C22" s="19" t="s">
        <v>1</v>
      </c>
      <c r="D22" s="8">
        <f>(B5*B7)/(B5+B22)</f>
        <v>14.285714285714286</v>
      </c>
    </row>
    <row r="23" spans="1:4" ht="15" thickBot="1" x14ac:dyDescent="0.35">
      <c r="A23" s="16" t="s">
        <v>13</v>
      </c>
      <c r="B23" s="17">
        <f>($D$22^(1/2)-1)*$B$6</f>
        <v>27.796447300922722</v>
      </c>
      <c r="C23" s="19" t="s">
        <v>1</v>
      </c>
      <c r="D23" s="8">
        <f>((D22*B6)/(B6+B23))</f>
        <v>3.7796447300922726</v>
      </c>
    </row>
    <row r="24" spans="1:4" ht="15" thickBot="1" x14ac:dyDescent="0.35">
      <c r="A24" s="16" t="s">
        <v>14</v>
      </c>
      <c r="B24" s="17">
        <f>($D$22^(1/2)-1)*$B$6</f>
        <v>27.796447300922722</v>
      </c>
      <c r="C24" s="19" t="s">
        <v>1</v>
      </c>
      <c r="D24" s="14">
        <f>((D23*B6)/(B6+B24))</f>
        <v>1.0000000000000002</v>
      </c>
    </row>
    <row r="25" spans="1:4" ht="15.6" thickTop="1" thickBot="1" x14ac:dyDescent="0.35">
      <c r="A25" s="18" t="s">
        <v>9</v>
      </c>
      <c r="B25" s="32">
        <f>IF(B22+B23+B24&gt;B4,"Impossible : Volume d'eau claire insuffisant",B22+B23+B24)</f>
        <v>235.59289460184544</v>
      </c>
      <c r="C25" s="19" t="s">
        <v>1</v>
      </c>
      <c r="D25" s="13"/>
    </row>
    <row r="26" spans="1:4" ht="15" thickTop="1" x14ac:dyDescent="0.3">
      <c r="B26" s="11"/>
    </row>
    <row r="27" spans="1:4" x14ac:dyDescent="0.3">
      <c r="A27" s="20" t="s">
        <v>3</v>
      </c>
      <c r="B27" s="11"/>
    </row>
    <row r="28" spans="1:4" x14ac:dyDescent="0.3">
      <c r="A28" s="16" t="s">
        <v>12</v>
      </c>
      <c r="B28" s="17">
        <f>6*$B$5</f>
        <v>180</v>
      </c>
      <c r="C28" s="19" t="s">
        <v>1</v>
      </c>
      <c r="D28" s="8">
        <f>($B$5*B7)/($B$5+B28)</f>
        <v>14.285714285714286</v>
      </c>
    </row>
    <row r="29" spans="1:4" x14ac:dyDescent="0.3">
      <c r="A29" s="16" t="s">
        <v>13</v>
      </c>
      <c r="B29" s="17">
        <f>($D$28^(1/3)-1)*$B$6</f>
        <v>14.264275032025861</v>
      </c>
      <c r="C29" s="19" t="s">
        <v>1</v>
      </c>
      <c r="D29" s="8">
        <f>($B$6*D28)/($B$6+B29)</f>
        <v>5.8875504282979394</v>
      </c>
    </row>
    <row r="30" spans="1:4" ht="15" thickBot="1" x14ac:dyDescent="0.35">
      <c r="A30" s="16" t="s">
        <v>14</v>
      </c>
      <c r="B30" s="17">
        <f>($D$28^(1/3)-1)*$B$6</f>
        <v>14.264275032025861</v>
      </c>
      <c r="C30" s="19" t="s">
        <v>1</v>
      </c>
      <c r="D30" s="8">
        <f>($B$6*D29)/($B$6+B30)</f>
        <v>2.4264275032025875</v>
      </c>
    </row>
    <row r="31" spans="1:4" ht="15" thickBot="1" x14ac:dyDescent="0.35">
      <c r="A31" s="16" t="s">
        <v>15</v>
      </c>
      <c r="B31" s="17">
        <f>($D$28^(1/3)-1)*$B$6</f>
        <v>14.264275032025861</v>
      </c>
      <c r="C31" s="19" t="s">
        <v>1</v>
      </c>
      <c r="D31" s="14">
        <f>(D30*$B$6)/($B$6+B31)</f>
        <v>1.0000000000000007</v>
      </c>
    </row>
    <row r="32" spans="1:4" ht="15.6" thickTop="1" thickBot="1" x14ac:dyDescent="0.35">
      <c r="A32" s="18" t="s">
        <v>9</v>
      </c>
      <c r="B32" s="32">
        <f>IF(B28+B29+B30+B31&gt;B4,"Impossible : Volume d'eau claire insuffisant",B28+B29+B30+B31)</f>
        <v>222.79282509607759</v>
      </c>
      <c r="C32" s="19" t="s">
        <v>1</v>
      </c>
    </row>
    <row r="33" spans="1:4" ht="15" thickTop="1" x14ac:dyDescent="0.3">
      <c r="B33" s="8"/>
    </row>
    <row r="34" spans="1:4" x14ac:dyDescent="0.3">
      <c r="A34" s="20" t="s">
        <v>8</v>
      </c>
      <c r="B34" s="8"/>
    </row>
    <row r="35" spans="1:4" x14ac:dyDescent="0.3">
      <c r="A35" s="16" t="s">
        <v>12</v>
      </c>
      <c r="B35" s="17">
        <f>6*$B$5</f>
        <v>180</v>
      </c>
      <c r="C35" s="19" t="s">
        <v>1</v>
      </c>
      <c r="D35" s="8">
        <f>($B$5*B7)/($B$5+B35)</f>
        <v>14.285714285714286</v>
      </c>
    </row>
    <row r="36" spans="1:4" x14ac:dyDescent="0.3">
      <c r="A36" s="16" t="s">
        <v>13</v>
      </c>
      <c r="B36" s="17">
        <f>($D$35^(1/4)-1)*$B$6</f>
        <v>9.4413084181396396</v>
      </c>
      <c r="C36" s="19" t="s">
        <v>1</v>
      </c>
      <c r="D36" s="8">
        <f>($B$6*D35)/($B$6+B36)</f>
        <v>7.3481238908720012</v>
      </c>
    </row>
    <row r="37" spans="1:4" x14ac:dyDescent="0.3">
      <c r="A37" s="16" t="s">
        <v>14</v>
      </c>
      <c r="B37" s="17">
        <f>($D$35^(1/4)-1)*$B$6</f>
        <v>9.4413084181396396</v>
      </c>
      <c r="C37" s="19" t="s">
        <v>1</v>
      </c>
      <c r="D37" s="8">
        <f t="shared" ref="D37:D39" si="0">($B$6*D36)/($B$6+B37)</f>
        <v>3.7796447300922718</v>
      </c>
    </row>
    <row r="38" spans="1:4" ht="15" thickBot="1" x14ac:dyDescent="0.35">
      <c r="A38" s="16" t="s">
        <v>15</v>
      </c>
      <c r="B38" s="17">
        <f>($D$35^(1/4)-1)*$B$6</f>
        <v>9.4413084181396396</v>
      </c>
      <c r="C38" s="19" t="s">
        <v>1</v>
      </c>
      <c r="D38" s="8">
        <f t="shared" si="0"/>
        <v>1.9441308418139633</v>
      </c>
    </row>
    <row r="39" spans="1:4" ht="15" thickBot="1" x14ac:dyDescent="0.35">
      <c r="A39" s="16" t="s">
        <v>16</v>
      </c>
      <c r="B39" s="17">
        <f>($D$35^(1/4)-1)*$B$6</f>
        <v>9.4413084181396396</v>
      </c>
      <c r="C39" s="19" t="s">
        <v>1</v>
      </c>
      <c r="D39" s="14">
        <f t="shared" si="0"/>
        <v>0.99999999999999967</v>
      </c>
    </row>
    <row r="40" spans="1:4" ht="15.6" thickTop="1" thickBot="1" x14ac:dyDescent="0.35">
      <c r="A40" s="18" t="s">
        <v>9</v>
      </c>
      <c r="B40" s="32">
        <f>IF(B35+B36+B37+B38+B39&gt;B4,"Impossible : Volume d'eau claire insuffisant",B35+B36+B37+B38+B39)</f>
        <v>217.76523367255857</v>
      </c>
      <c r="C40" s="19" t="s">
        <v>1</v>
      </c>
    </row>
    <row r="41" spans="1:4" ht="15" thickTop="1" x14ac:dyDescent="0.3">
      <c r="B41" s="8"/>
    </row>
  </sheetData>
  <sheetProtection password="F76B" sheet="1" objects="1" scenarios="1"/>
  <mergeCells count="2">
    <mergeCell ref="A1:B1"/>
    <mergeCell ref="A10:B10"/>
  </mergeCells>
  <conditionalFormatting sqref="A10:B11">
    <cfRule type="containsText" dxfId="31" priority="2" operator="containsText" text="Erreur">
      <formula>NOT(ISERROR(SEARCH("Erreur",A10)))</formula>
    </cfRule>
  </conditionalFormatting>
  <conditionalFormatting sqref="B1:B1048576">
    <cfRule type="containsText" dxfId="30" priority="1" operator="containsText" text="Impossible">
      <formula>NOT(ISERROR(SEARCH("Impossible",B1)))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ABC48DD-CBEB-484D-93C2-3F7DF8DFD007}">
            <xm:f>NOT(ISERROR(SEARCH($A$9,A10)))</xm:f>
            <xm:f>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A10:B11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Interface utilisateur</vt:lpstr>
      <vt:lpstr>Optimalisation - Choix méthode</vt:lpstr>
      <vt:lpstr>Méthode 1</vt:lpstr>
      <vt:lpstr>1er rinçage - cc ini div. par 2</vt:lpstr>
      <vt:lpstr>par 3</vt:lpstr>
      <vt:lpstr>par 4</vt:lpstr>
      <vt:lpstr>par 5</vt:lpstr>
      <vt:lpstr>par 6</vt:lpstr>
      <vt:lpstr>par 7</vt:lpstr>
      <vt:lpstr>par 8</vt:lpstr>
      <vt:lpstr>par 9</vt:lpstr>
      <vt:lpstr>par 10</vt:lpstr>
      <vt:lpstr>par 15</vt:lpstr>
      <vt:lpstr>4 - 4 -3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Armelle Copus</dc:creator>
  <cp:lastModifiedBy>Eugénie Coninck</cp:lastModifiedBy>
  <dcterms:created xsi:type="dcterms:W3CDTF">2013-09-04T06:41:05Z</dcterms:created>
  <dcterms:modified xsi:type="dcterms:W3CDTF">2020-10-26T07:46:33Z</dcterms:modified>
</cp:coreProperties>
</file>